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7.xml"/>
  <Override ContentType="application/vnd.ms-excel.slicerCache+xml" PartName="/xl/slicerCaches/slicerCache1.xml"/>
  <Override ContentType="application/vnd.openxmlformats-officedocument.spreadsheetml.pivotTable+xml" PartName="/xl/pivotTables/pivotTable1.xml"/>
  <Override ContentType="application/vnd.openxmlformats-officedocument.spreadsheetml.styles+xml" PartName="/xl/styles.xml"/>
  <Override ContentType="application/vnd.openxmlformats-officedocument.drawingml.chart+xml" PartName="/xl/charts/chart1.xml"/>
  <Override ContentType="application/vnd.openxmlformats-officedocument.drawingml.chart+xml" PartName="/xl/charts/chart3.xml"/>
  <Override ContentType="application/vnd.openxmlformats-officedocument.drawingml.chart+xml" PartName="/xl/charts/chart2.xml"/>
  <Override ContentType="application/vnd.openxmlformats-officedocument.theme+xml" PartName="/xl/theme/theme1.xml"/>
  <Override ContentType="application/vnd.openxmlformats-officedocument.spreadsheetml.pivotCacheDefinition+xml" PartName="/xl/pivotCache/pivotCacheDefinition1.xml"/>
  <Override ContentType="application/vnd.openxmlformats-officedocument.spreadsheetml.table+xml" PartName="/xl/tables/table1.xml"/>
  <Override ContentType="application/vnd.ms-excel.slicer+xml" PartName="/xl/slicers/slicer1.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ms-excel.person+xml" PartName="/xl/persons/person.xml"/>
  <Override ContentType="application/vnd.openxmlformats-officedocument.spreadsheetml.comments+xml" PartName="/xl/comments1.xml"/>
  <Override ContentType="application/vnd.openxmlformats-officedocument.spreadsheetml.comments+xml" PartName="/xl/comments2.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시트1" sheetId="1" r:id="rId5"/>
    <sheet state="visible" name="분석" sheetId="2" r:id="rId6"/>
    <sheet state="visible" name="과정마스터" sheetId="3" r:id="rId7"/>
    <sheet state="visible" name="교육운영" sheetId="4" r:id="rId8"/>
    <sheet state="visible" name="고급분석" sheetId="5" r:id="rId9"/>
    <sheet state="visible" name="피벗" sheetId="6" r:id="rId10"/>
    <sheet state="visible" name="시나리오" sheetId="7" r:id="rId11"/>
    <sheet state="visible" name="대시보드" sheetId="8" r:id="rId12"/>
  </sheets>
  <definedNames>
    <definedName hidden="1" localSheetId="3" name="Z_F9CC1DF2_C773_414C_ABBE_57115C0DF10B_.wvu.FilterData">'교육운영'!$A$1:$H$13</definedName>
    <definedName name="SlicerCache_Table_1_Col_2">#N/A</definedName>
  </definedNames>
  <calcPr/>
  <customWorkbookViews>
    <customWorkbookView activeSheetId="0" maximized="1" windowHeight="0" windowWidth="0" guid="{F9CC1DF2-C773-414C-ABBE-57115C0DF10B}" name="필터 1"/>
  </customWorkbookViews>
  <pivotCaches>
    <pivotCache cacheId="0" r:id="rId13"/>
  </pivotCaches>
  <extLst>
    <ext uri="{46BE6895-7355-4a93-B00E-2C351335B9C9}">
      <x15:slicerCaches>
        <x14:slicerCache r:id="rId14"/>
      </x15:slicerCaches>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A1">
      <text>
        <t xml:space="preserve">촬영용 가상 데이터(사용자 제공 값)</t>
      </text>
    </comment>
  </commentList>
</comments>
</file>

<file path=xl/comments2.xml><?xml version="1.0" encoding="utf-8"?>
<comments xmlns:r="http://schemas.openxmlformats.org/officeDocument/2006/relationships" xmlns="http://schemas.openxmlformats.org/spreadsheetml/2006/main" xmlns:xr="http://schemas.microsoft.com/office/spreadsheetml/2014/revision">
  <authors>
    <author/>
  </authors>
  <commentList>
    <comment authorId="0" ref="C4">
      <text>
        <t xml:space="preserve">내부 조건값: 전체 선택 시 와일드카드(*)</t>
      </text>
    </comment>
  </commentList>
</comments>
</file>

<file path=xl/sharedStrings.xml><?xml version="1.0" encoding="utf-8"?>
<sst xmlns="http://schemas.openxmlformats.org/spreadsheetml/2006/main" count="190" uniqueCount="118">
  <si>
    <t>응답ID</t>
  </si>
  <si>
    <t>과정코드</t>
  </si>
  <si>
    <t>소속그룹</t>
  </si>
  <si>
    <t>내용만족</t>
  </si>
  <si>
    <t>강사만족</t>
  </si>
  <si>
    <t>현업활용</t>
  </si>
  <si>
    <t>개선의견</t>
  </si>
  <si>
    <t>R01</t>
  </si>
  <si>
    <t>과정명</t>
  </si>
  <si>
    <t>A팀</t>
  </si>
  <si>
    <t>1인예산(원)</t>
  </si>
  <si>
    <t>역할 연습 시간을 늘려주세요</t>
  </si>
  <si>
    <t>C01</t>
  </si>
  <si>
    <t>R02</t>
  </si>
  <si>
    <t>피드백</t>
  </si>
  <si>
    <t>사례가 실무와 비슷했습니다</t>
  </si>
  <si>
    <t>C02</t>
  </si>
  <si>
    <t>R03</t>
  </si>
  <si>
    <t>코칭</t>
  </si>
  <si>
    <t>C03</t>
  </si>
  <si>
    <t>갈등관리</t>
  </si>
  <si>
    <t>후속 자료가 필요합니다</t>
  </si>
  <si>
    <t>R04</t>
  </si>
  <si>
    <t>※ 촬영용 가상 데이터입니다.</t>
  </si>
  <si>
    <t>바로 적용할 수 있겠습니다</t>
  </si>
  <si>
    <t>R05</t>
  </si>
  <si>
    <t>B팀</t>
  </si>
  <si>
    <t>R06</t>
  </si>
  <si>
    <t>준비물이 잘 갖춰져 있었습니다</t>
  </si>
  <si>
    <t>R07</t>
  </si>
  <si>
    <t>R08</t>
  </si>
  <si>
    <t>설명이 쉬웠습니다</t>
  </si>
  <si>
    <t>R09</t>
  </si>
  <si>
    <t>C팀</t>
  </si>
  <si>
    <t>사례를 더 다양하게 주세요</t>
  </si>
  <si>
    <t>R10</t>
  </si>
  <si>
    <t>R11</t>
  </si>
  <si>
    <t>피드백 문장을 바로 써봤습니다</t>
  </si>
  <si>
    <t>R12</t>
  </si>
  <si>
    <t>소속</t>
  </si>
  <si>
    <t>상태</t>
  </si>
  <si>
    <t>집행액(원)</t>
  </si>
  <si>
    <t>※ 촬영용 가상 데이터입니다. 파란색=입력값(드롭다운), 초록색=시트1 참조, 검정=수식</t>
  </si>
  <si>
    <t>완료</t>
  </si>
  <si>
    <t>HRD 고급분석 (교육운영 기준)</t>
  </si>
  <si>
    <t>※ 촬영용 가상 데이터입니다. 모든 수치는 '교육운영' 참조 수식입니다.</t>
  </si>
  <si>
    <t>완료 상태값</t>
  </si>
  <si>
    <t>예정 상태값</t>
  </si>
  <si>
    <t>예정</t>
  </si>
  <si>
    <t>1. 그룹별 집계 (SUMIFS / COUNTIFS)</t>
  </si>
  <si>
    <t>그룹</t>
  </si>
  <si>
    <t>인원</t>
  </si>
  <si>
    <t>계획예산(원)</t>
  </si>
  <si>
    <t>완료인원</t>
  </si>
  <si>
    <t>완료율</t>
  </si>
  <si>
    <t>피벗: 소속(행) × 상태(열) 응답ID 개수 — 촬영용 가상 데이터, 원본 교육운영!A1:H13</t>
  </si>
  <si>
    <t>피드백 워크숍 만족도 분석</t>
  </si>
  <si>
    <t>※ 가상 자료: 촬영용 예시 설문(12명)이며 실제 응답이 아닙니다. 모든 수치는 '시트1' 원본 참조 수식이며, 빈칸은 평균에서 제외(0점 처리 안 함)됩니다.</t>
  </si>
  <si>
    <t>1. 응답 현황</t>
  </si>
  <si>
    <t>총 응답 수(명)</t>
  </si>
  <si>
    <t>합계</t>
  </si>
  <si>
    <t>2. 항목별 평균 (5점 척도)</t>
  </si>
  <si>
    <t>응답ID 개수</t>
  </si>
  <si>
    <t>항목</t>
  </si>
  <si>
    <t>평균</t>
  </si>
  <si>
    <t>총계</t>
  </si>
  <si>
    <t>유효 응답 수</t>
  </si>
  <si>
    <t>최저</t>
  </si>
  <si>
    <t>최고</t>
  </si>
  <si>
    <t>2. 예정자 명단 (FILTER)</t>
  </si>
  <si>
    <t>3. 과정별 집계 (QUERY)</t>
  </si>
  <si>
    <t>4. 검증 (기대값 vs 실제값)</t>
  </si>
  <si>
    <t>기대값</t>
  </si>
  <si>
    <t>실제값</t>
  </si>
  <si>
    <t>결과</t>
  </si>
  <si>
    <t>인원(명)</t>
  </si>
  <si>
    <t>3. 개선의견별 빈도 (빈도 내림차순)</t>
  </si>
  <si>
    <t>빈도(건)</t>
  </si>
  <si>
    <t>비율</t>
  </si>
  <si>
    <t>총 계획예산(원)</t>
  </si>
  <si>
    <t>총 집행액(원)</t>
  </si>
  <si>
    <t>완료인원(명)</t>
  </si>
  <si>
    <t>그룹합계 = 원장합계</t>
  </si>
  <si>
    <t>교육예산 시나리오 (민감도)</t>
  </si>
  <si>
    <t>※ 촬영용 가상 데이터입니다. 기준 예산은 교육운영 원본 참조입니다.</t>
  </si>
  <si>
    <t>단가증가율 (입력)</t>
  </si>
  <si>
    <t>인원증가율 (입력)</t>
  </si>
  <si>
    <t>오류셀 수(교육운영·마스터·분석표)</t>
  </si>
  <si>
    <t>기준 총예산(원)</t>
  </si>
  <si>
    <t>시나리오 총예산(원)</t>
  </si>
  <si>
    <t>기준 대비 증감(원)</t>
  </si>
  <si>
    <t>4. 관찰 결과 (데이터에서 확인된 사실)</t>
  </si>
  <si>
    <t>대안표</t>
  </si>
  <si>
    <t>대안</t>
  </si>
  <si>
    <t>단가증가율</t>
  </si>
  <si>
    <t>인원증가율</t>
  </si>
  <si>
    <t>총예산(원)</t>
  </si>
  <si>
    <t>기준대비 증감(원)</t>
  </si>
  <si>
    <t>기본</t>
  </si>
  <si>
    <t>단가 10%만</t>
  </si>
  <si>
    <t>인원 20%만</t>
  </si>
  <si>
    <t>• 긍정 의견(실무 유사·쉬운 설명·준비물·즉시 적용)과 요청 의견(연습 시간·후속 자료·사례 다양화)이 혼재</t>
  </si>
  <si>
    <t>5. HRD 개선 제안 (해석·제안, 검증 필요)</t>
  </si>
  <si>
    <t>① 현업활용 점수 보완: 교육 후 1~2주 내 적용 과제·체크리스트 등 후속 자료 제공</t>
  </si>
  <si>
    <t>② 역할 연습 시간 확대: 이론 비중을 줄이고 실습·피드백 라운드 추가</t>
  </si>
  <si>
    <t>③ 사례 다양화: 팀/직무별 사례를 사전 수집해 반영</t>
  </si>
  <si>
    <t>④ 강점 유지: 강사 진행 방식과 실무형 사례 구성은 유지</t>
  </si>
  <si>
    <t>※ 12명 가상 표본으로 일반화에 한계가 있으며, 실제 적용 전 실데이터 검증이 필요합니다.</t>
  </si>
  <si>
    <t>HRD 교육운영 대시보드</t>
  </si>
  <si>
    <t>※ 촬영용 가상 데이터. 모든 수치는 교육운영·과정마스터 원본 참조 수식입니다.</t>
  </si>
  <si>
    <t>소속 선택(드롭다운)</t>
  </si>
  <si>
    <t>전체</t>
  </si>
  <si>
    <t>선택 목록</t>
  </si>
  <si>
    <t>잔액(원)</t>
  </si>
  <si>
    <t>완료/인원(명)</t>
  </si>
  <si>
    <t>과정별 예산</t>
  </si>
  <si>
    <t>그룹별 완료율</t>
  </si>
  <si>
    <t>예정자 명단</t>
  </si>
</sst>
</file>

<file path=xl/styles.xml><?xml version="1.0" encoding="utf-8"?>
<styleSheet xmlns="http://schemas.openxmlformats.org/spreadsheetml/2006/main" xmlns:x14ac="http://schemas.microsoft.com/office/spreadsheetml/2009/9/ac" xmlns:mc="http://schemas.openxmlformats.org/markup-compatibility/2006">
  <numFmts count="2">
    <numFmt numFmtId="164" formatCode="#,##0;(#,##0);&quot;-&quot;"/>
    <numFmt numFmtId="165" formatCode="0.0%"/>
  </numFmts>
  <fonts count="12">
    <font>
      <sz val="10.0"/>
      <color rgb="FF000000"/>
      <name val="Arial"/>
      <scheme val="minor"/>
    </font>
    <font>
      <color theme="1"/>
      <name val="Arial"/>
      <scheme val="minor"/>
    </font>
    <font>
      <b/>
      <color theme="1"/>
      <name val="Arial"/>
      <scheme val="minor"/>
    </font>
    <font>
      <color rgb="FF0000FF"/>
      <name val="Arial"/>
      <scheme val="minor"/>
    </font>
    <font>
      <b/>
      <color rgb="FFC00000"/>
      <name val="Arial"/>
      <scheme val="minor"/>
    </font>
    <font>
      <color rgb="FF008000"/>
      <name val="Arial"/>
      <scheme val="minor"/>
    </font>
    <font>
      <b/>
      <sz val="14.0"/>
      <color theme="1"/>
      <name val="Arial"/>
      <scheme val="minor"/>
    </font>
    <font>
      <i/>
      <color rgb="FF7F7F7F"/>
      <name val="Arial"/>
      <scheme val="minor"/>
    </font>
    <font>
      <b/>
      <color rgb="FF0000FF"/>
      <name val="Arial"/>
      <scheme val="minor"/>
    </font>
    <font>
      <color rgb="FF7F7F7F"/>
      <name val="Arial"/>
      <scheme val="minor"/>
    </font>
    <font>
      <b/>
      <color rgb="FF7F7F7F"/>
      <name val="Arial"/>
      <scheme val="minor"/>
    </font>
    <font>
      <b/>
      <sz val="13.0"/>
      <color theme="1"/>
      <name val="Arial"/>
      <scheme val="minor"/>
    </font>
  </fonts>
  <fills count="6">
    <fill>
      <patternFill patternType="none"/>
    </fill>
    <fill>
      <patternFill patternType="lightGray"/>
    </fill>
    <fill>
      <patternFill patternType="solid">
        <fgColor rgb="FFD9E2F3"/>
        <bgColor rgb="FFD9E2F3"/>
      </patternFill>
    </fill>
    <fill>
      <patternFill patternType="solid">
        <fgColor rgb="FFE2EFDA"/>
        <bgColor rgb="FFE2EFDA"/>
      </patternFill>
    </fill>
    <fill>
      <patternFill patternType="solid">
        <fgColor rgb="FFFFFF00"/>
        <bgColor rgb="FFFFFF00"/>
      </patternFill>
    </fill>
    <fill>
      <patternFill patternType="solid">
        <fgColor rgb="FFFCE4D6"/>
        <bgColor rgb="FFFCE4D6"/>
      </patternFill>
    </fill>
  </fills>
  <borders count="1">
    <border/>
  </borders>
  <cellStyleXfs count="1">
    <xf borderId="0" fillId="0" fontId="0" numFmtId="0" applyAlignment="1" applyFont="1"/>
  </cellStyleXfs>
  <cellXfs count="45">
    <xf borderId="0" fillId="0" fontId="0" numFmtId="0" xfId="0" applyAlignment="1" applyFont="1">
      <alignment readingOrder="0" shrinkToFit="0" vertical="bottom" wrapText="0"/>
    </xf>
    <xf borderId="0" fillId="0" fontId="1" numFmtId="0" xfId="0" applyAlignment="1" applyFont="1">
      <alignment readingOrder="0"/>
    </xf>
    <xf borderId="0" fillId="2" fontId="2" numFmtId="0" xfId="0" applyAlignment="1" applyFill="1" applyFont="1">
      <alignment readingOrder="0"/>
    </xf>
    <xf borderId="0" fillId="0" fontId="3" numFmtId="0" xfId="0" applyAlignment="1" applyFont="1">
      <alignment readingOrder="0"/>
    </xf>
    <xf borderId="0" fillId="0" fontId="3" numFmtId="3" xfId="0" applyAlignment="1" applyFont="1" applyNumberFormat="1">
      <alignment readingOrder="0"/>
    </xf>
    <xf borderId="0" fillId="0" fontId="4" numFmtId="0" xfId="0" applyAlignment="1" applyFont="1">
      <alignment readingOrder="0"/>
    </xf>
    <xf borderId="0" fillId="0" fontId="5" numFmtId="0" xfId="0" applyFont="1"/>
    <xf borderId="0" fillId="0" fontId="3" numFmtId="0" xfId="0" applyAlignment="1" applyFont="1">
      <alignment horizontal="center" readingOrder="0"/>
    </xf>
    <xf borderId="0" fillId="0" fontId="1" numFmtId="0" xfId="0" applyFont="1"/>
    <xf borderId="0" fillId="0" fontId="1" numFmtId="3" xfId="0" applyFont="1" applyNumberFormat="1"/>
    <xf borderId="0" fillId="0" fontId="1" numFmtId="164" xfId="0" applyFont="1" applyNumberFormat="1"/>
    <xf borderId="0" fillId="0" fontId="6" numFmtId="0" xfId="0" applyAlignment="1" applyFont="1">
      <alignment readingOrder="0"/>
    </xf>
    <xf borderId="0" fillId="0" fontId="2" numFmtId="0" xfId="0" applyAlignment="1" applyFont="1">
      <alignment readingOrder="0"/>
    </xf>
    <xf borderId="0" fillId="0" fontId="1" numFmtId="165" xfId="0" applyFont="1" applyNumberFormat="1"/>
    <xf borderId="0" fillId="2" fontId="1" numFmtId="0" xfId="0" applyFill="1" applyFont="1"/>
    <xf borderId="0" fillId="0" fontId="2" numFmtId="0" xfId="0" applyFont="1"/>
    <xf borderId="0" fillId="0" fontId="2" numFmtId="0" xfId="0" applyAlignment="1" applyFont="1">
      <alignment horizontal="center" readingOrder="0"/>
    </xf>
    <xf borderId="0" fillId="0" fontId="2" numFmtId="164" xfId="0" applyFont="1" applyNumberFormat="1"/>
    <xf borderId="0" fillId="0" fontId="2" numFmtId="165" xfId="0" applyFont="1" applyNumberFormat="1"/>
    <xf borderId="0" fillId="0" fontId="1" numFmtId="2" xfId="0" applyAlignment="1" applyFont="1" applyNumberFormat="1">
      <alignment horizontal="center"/>
    </xf>
    <xf borderId="0" fillId="0" fontId="1" numFmtId="0" xfId="0" applyAlignment="1" applyFont="1">
      <alignment horizontal="center"/>
    </xf>
    <xf borderId="0" fillId="0" fontId="1" numFmtId="3" xfId="0" applyFont="1" applyNumberFormat="1"/>
    <xf borderId="0" fillId="0" fontId="1" numFmtId="2" xfId="0" applyFont="1" applyNumberFormat="1"/>
    <xf borderId="0" fillId="3" fontId="2" numFmtId="0" xfId="0" applyAlignment="1" applyFill="1" applyFont="1">
      <alignment readingOrder="0"/>
    </xf>
    <xf borderId="0" fillId="0" fontId="3" numFmtId="0" xfId="0" applyAlignment="1" applyFont="1">
      <alignment readingOrder="0"/>
    </xf>
    <xf borderId="0" fillId="0" fontId="3" numFmtId="165" xfId="0" applyAlignment="1" applyFont="1" applyNumberFormat="1">
      <alignment readingOrder="0"/>
    </xf>
    <xf borderId="0" fillId="4" fontId="3" numFmtId="165" xfId="0" applyAlignment="1" applyFill="1" applyFont="1" applyNumberFormat="1">
      <alignment readingOrder="0"/>
    </xf>
    <xf borderId="0" fillId="0" fontId="1" numFmtId="165" xfId="0" applyAlignment="1" applyFont="1" applyNumberFormat="1">
      <alignment horizontal="center"/>
    </xf>
    <xf borderId="0" fillId="0" fontId="5" numFmtId="3" xfId="0" applyFont="1" applyNumberFormat="1"/>
    <xf borderId="0" fillId="0" fontId="2" numFmtId="3" xfId="0" applyFont="1" applyNumberFormat="1"/>
    <xf borderId="0" fillId="3" fontId="1" numFmtId="0" xfId="0" applyFill="1" applyFont="1"/>
    <xf borderId="0" fillId="0" fontId="1" numFmtId="0" xfId="0" applyFont="1"/>
    <xf borderId="0" fillId="0" fontId="7" numFmtId="0" xfId="0" applyFont="1"/>
    <xf borderId="0" fillId="5" fontId="2" numFmtId="0" xfId="0" applyAlignment="1" applyFill="1" applyFont="1">
      <alignment readingOrder="0"/>
    </xf>
    <xf borderId="0" fillId="5" fontId="1" numFmtId="0" xfId="0" applyFill="1" applyFont="1"/>
    <xf borderId="0" fillId="0" fontId="7" numFmtId="0" xfId="0" applyAlignment="1" applyFont="1">
      <alignment readingOrder="0"/>
    </xf>
    <xf borderId="0" fillId="4" fontId="8" numFmtId="0" xfId="0" applyAlignment="1" applyFill="1" applyFont="1">
      <alignment readingOrder="0"/>
    </xf>
    <xf borderId="0" fillId="0" fontId="9" numFmtId="0" xfId="0" applyFont="1"/>
    <xf borderId="0" fillId="0" fontId="10" numFmtId="0" xfId="0" applyAlignment="1" applyFont="1">
      <alignment readingOrder="0"/>
    </xf>
    <xf borderId="0" fillId="0" fontId="9" numFmtId="0" xfId="0" applyAlignment="1" applyFont="1">
      <alignment readingOrder="0"/>
    </xf>
    <xf borderId="0" fillId="2" fontId="2" numFmtId="0" xfId="0" applyAlignment="1" applyFill="1" applyFont="1">
      <alignment horizontal="center" readingOrder="0"/>
    </xf>
    <xf borderId="0" fillId="0" fontId="11" numFmtId="3" xfId="0" applyAlignment="1" applyFont="1" applyNumberFormat="1">
      <alignment horizontal="center"/>
    </xf>
    <xf borderId="0" fillId="0" fontId="11" numFmtId="164" xfId="0" applyAlignment="1" applyFont="1" applyNumberFormat="1">
      <alignment horizontal="center"/>
    </xf>
    <xf borderId="0" fillId="0" fontId="11" numFmtId="10" xfId="0" applyAlignment="1" applyFont="1" applyNumberFormat="1">
      <alignment horizontal="center"/>
    </xf>
    <xf borderId="0" fillId="0" fontId="11" numFmtId="0" xfId="0" applyAlignment="1" applyFont="1">
      <alignment horizontal="center"/>
    </xf>
  </cellXfs>
  <cellStyles count="1">
    <cellStyle xfId="0" name="Normal" builtinId="0"/>
  </cellStyles>
  <dxfs count="10">
    <dxf>
      <font/>
      <fill>
        <patternFill patternType="none"/>
      </fill>
      <border/>
    </dxf>
    <dxf>
      <font/>
      <fill>
        <patternFill patternType="none"/>
      </fill>
      <border/>
    </dxf>
    <dxf>
      <font>
        <color rgb="FF000000"/>
      </font>
      <fill>
        <patternFill patternType="solid">
          <fgColor rgb="FFFFFFFF"/>
          <bgColor rgb="FFFFFFFF"/>
        </patternFill>
      </fill>
      <border/>
    </dxf>
    <dxf>
      <font>
        <color rgb="FF000000"/>
      </font>
      <fill>
        <patternFill patternType="solid">
          <fgColor rgb="FFF3F3F3"/>
          <bgColor rgb="FFF3F3F3"/>
        </patternFill>
      </fill>
      <border>
        <right style="thin">
          <color rgb="FFFFFFFF"/>
        </right>
      </border>
    </dxf>
    <dxf>
      <font>
        <color rgb="FFFFFFFF"/>
      </font>
      <fill>
        <patternFill patternType="solid">
          <fgColor rgb="FF666666"/>
          <bgColor rgb="FF666666"/>
        </patternFill>
      </fill>
      <border>
        <bottom style="thin">
          <color rgb="FFFFFFFF"/>
        </bottom>
      </border>
    </dxf>
    <dxf>
      <font>
        <color rgb="FF000000"/>
      </font>
      <fill>
        <patternFill patternType="solid">
          <fgColor rgb="FFD9D9D9"/>
          <bgColor rgb="FFD9D9D9"/>
        </patternFill>
      </fill>
      <border>
        <top style="thin">
          <color rgb="FFFFFFFF"/>
        </top>
      </border>
    </dxf>
    <dxf>
      <font>
        <b/>
        <color rgb="FF000000"/>
      </font>
      <fill>
        <patternFill patternType="solid">
          <fgColor rgb="FFD9D9D9"/>
          <bgColor rgb="FFD9D9D9"/>
        </patternFill>
      </fill>
      <border>
        <top style="double">
          <color rgb="FF000000"/>
        </top>
      </border>
    </dxf>
    <dxf>
      <font>
        <color rgb="FF006100"/>
      </font>
      <fill>
        <patternFill patternType="solid">
          <fgColor rgb="FFC6EFCE"/>
          <bgColor rgb="FFC6EFCE"/>
        </patternFill>
      </fill>
      <border/>
    </dxf>
    <dxf>
      <font>
        <color rgb="FF9C5700"/>
      </font>
      <fill>
        <patternFill patternType="solid">
          <fgColor rgb="FFFFEB9C"/>
          <bgColor rgb="FFFFEB9C"/>
        </patternFill>
      </fill>
      <border/>
    </dxf>
    <dxf>
      <font>
        <color rgb="FF9C0006"/>
      </font>
      <fill>
        <patternFill patternType="solid">
          <fgColor rgb="FFFFC7CE"/>
          <bgColor rgb="FFFFC7CE"/>
        </patternFill>
      </fill>
      <border/>
    </dxf>
  </dxfs>
  <tableStyles count="1">
    <tableStyle count="12" table="0" name="Google Sheets Pivot Table Style">
      <tableStyleElement dxfId="2" type="wholeTable"/>
      <tableStyleElement dxfId="3" type="firstRowSubheading"/>
      <tableStyleElement dxfId="3" type="secondRowSubheading"/>
      <tableStyleElement dxfId="3" type="thirdRowSubheading"/>
      <tableStyleElement dxfId="4" type="firstColumnSubheading"/>
      <tableStyleElement dxfId="4" type="secondColumnSubheading"/>
      <tableStyleElement dxfId="4" type="thirdColumnSubheading"/>
      <tableStyleElement dxfId="4" type="headerRow"/>
      <tableStyleElement dxfId="5" type="firstSubtotalRow"/>
      <tableStyleElement dxfId="5" type="secondSubtotalRow"/>
      <tableStyleElement dxfId="5" type="thirdSubtotalRow"/>
      <tableStyleElement dxfId="6" type="totalRow"/>
    </tableStyle>
  </tableStyles>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pivotCacheDefinition" Target="pivotCache/pivotCacheDefinition1.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4" Type="http://schemas.microsoft.com/office/2007/relationships/slicerCache" Target="slicerCaches/slicerCache1.xml"/><Relationship Id="rId5" Type="http://schemas.openxmlformats.org/officeDocument/2006/relationships/worksheet" Target="worksheets/sheet1.xml"/><Relationship Id="rId6" Type="http://schemas.openxmlformats.org/officeDocument/2006/relationships/worksheet" Target="worksheets/sheet2.xml"/><Relationship Id="rId7" Type="http://schemas.openxmlformats.org/officeDocument/2006/relationships/worksheet" Target="worksheets/sheet3.xml"/><Relationship Id="rId8" Type="http://schemas.openxmlformats.org/officeDocument/2006/relationships/worksheet" Target="worksheets/sheet4.xml"/></Relationships>
</file>

<file path=xl/charts/chart1.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항목별 평균 만족도 (가상 자료, 5점 척도)</a:t>
            </a:r>
          </a:p>
        </c:rich>
      </c:tx>
      <c:overlay val="0"/>
    </c:title>
    <c:plotArea>
      <c:layout/>
      <c:barChart>
        <c:barDir val="col"/>
        <c:varyColors val="0"/>
        <c:ser>
          <c:idx val="0"/>
          <c:order val="0"/>
          <c:tx>
            <c:strRef>
              <c:f>'분석'!$B$8</c:f>
            </c:strRef>
          </c:tx>
          <c:spPr>
            <a:solidFill>
              <a:srgbClr val="4472C4"/>
            </a:solidFill>
            <a:ln cmpd="sng">
              <a:noFill/>
            </a:ln>
          </c:spPr>
          <c:invertIfNegative val="0"/>
          <c:dLbls>
            <c:numFmt formatCode="General" sourceLinked="1"/>
            <c:txPr>
              <a:bodyPr/>
              <a:lstStyle/>
              <a:p>
                <a:pPr lvl="0">
                  <a:defRPr/>
                </a:pPr>
              </a:p>
            </c:txPr>
            <c:showLegendKey val="0"/>
            <c:showVal val="1"/>
            <c:showCatName val="0"/>
            <c:showSerName val="0"/>
            <c:showPercent val="0"/>
            <c:showBubbleSize val="0"/>
          </c:dLbls>
          <c:cat>
            <c:strRef>
              <c:f>'분석'!$A$9:$A$11</c:f>
            </c:strRef>
          </c:cat>
          <c:val>
            <c:numRef>
              <c:f>'분석'!$B$9:$B$11</c:f>
              <c:numCache/>
            </c:numRef>
          </c:val>
        </c:ser>
        <c:axId val="1899721143"/>
        <c:axId val="253381897"/>
      </c:barChart>
      <c:catAx>
        <c:axId val="1899721143"/>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253381897"/>
      </c:catAx>
      <c:valAx>
        <c:axId val="253381897"/>
        <c:scaling>
          <c:orientation val="minMax"/>
          <c:max val="5.0"/>
          <c:min val="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평균 점수</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1899721143"/>
      </c:valAx>
    </c:plotArea>
  </c:chart>
</c:chartSpace>
</file>

<file path=xl/charts/chart2.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과정별 계획예산 vs 집행액 (원, 가상 자료)</a:t>
            </a:r>
          </a:p>
        </c:rich>
      </c:tx>
      <c:overlay val="0"/>
    </c:title>
    <c:plotArea>
      <c:layout/>
      <c:barChart>
        <c:barDir val="col"/>
        <c:ser>
          <c:idx val="0"/>
          <c:order val="0"/>
          <c:tx>
            <c:strRef>
              <c:f>'대시보드'!$B$11</c:f>
            </c:strRef>
          </c:tx>
          <c:spPr>
            <a:solidFill>
              <a:srgbClr val="4472C4"/>
            </a:solidFill>
            <a:ln cmpd="sng">
              <a:noFill/>
            </a:ln>
          </c:spPr>
          <c:invertIfNegative val="0"/>
          <c:cat>
            <c:strRef>
              <c:f>'대시보드'!$A$12:$A$14</c:f>
            </c:strRef>
          </c:cat>
          <c:val>
            <c:numRef>
              <c:f>'대시보드'!$B$12:$B$14</c:f>
              <c:numCache/>
            </c:numRef>
          </c:val>
        </c:ser>
        <c:ser>
          <c:idx val="1"/>
          <c:order val="1"/>
          <c:tx>
            <c:strRef>
              <c:f>'대시보드'!$C$11</c:f>
            </c:strRef>
          </c:tx>
          <c:spPr>
            <a:solidFill>
              <a:srgbClr val="ED7D31"/>
            </a:solidFill>
            <a:ln cmpd="sng">
              <a:noFill/>
            </a:ln>
          </c:spPr>
          <c:invertIfNegative val="0"/>
          <c:cat>
            <c:strRef>
              <c:f>'대시보드'!$A$12:$A$14</c:f>
            </c:strRef>
          </c:cat>
          <c:val>
            <c:numRef>
              <c:f>'대시보드'!$C$12:$C$14</c:f>
              <c:numCache/>
            </c:numRef>
          </c:val>
        </c:ser>
        <c:axId val="866484898"/>
        <c:axId val="934157650"/>
      </c:barChart>
      <c:catAx>
        <c:axId val="866484898"/>
        <c:scaling>
          <c:orientation val="minMax"/>
        </c:scaling>
        <c:delete val="0"/>
        <c:axPos val="b"/>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934157650"/>
      </c:catAx>
      <c:valAx>
        <c:axId val="934157650"/>
        <c:scaling>
          <c:orientation val="minMax"/>
          <c:min val="0.0"/>
        </c:scaling>
        <c:delete val="0"/>
        <c:axPos val="l"/>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866484898"/>
      </c:valAx>
    </c:plotArea>
    <c:legend>
      <c:legendPos val="r"/>
      <c:overlay val="0"/>
      <c:txPr>
        <a:bodyPr/>
        <a:lstStyle/>
        <a:p>
          <a:pPr lvl="0">
            <a:defRPr b="0">
              <a:solidFill>
                <a:srgbClr val="1A1A1A"/>
              </a:solidFill>
              <a:latin typeface="+mn-lt"/>
            </a:defRPr>
          </a:pPr>
        </a:p>
      </c:txPr>
    </c:legend>
  </c:chart>
</c:chartSpace>
</file>

<file path=xl/charts/chart3.xml><?xml version="1.0" encoding="utf-8"?>
<c:chartSpace xmlns:a="http://schemas.openxmlformats.org/drawingml/2006/main" xmlns:c="http://schemas.openxmlformats.org/drawingml/2006/chart" xmlns:r="http://schemas.openxmlformats.org/officeDocument/2006/relationships" xmlns:mc="http://schemas.openxmlformats.org/markup-compatibility/2006" xmlns:mv="urn:schemas-microsoft-com:mac:vml" xmlns:c14="http://schemas.microsoft.com/office/drawing/2007/8/2/chart">
  <c:chart>
    <c:title>
      <c:tx>
        <c:rich>
          <a:bodyPr/>
          <a:lstStyle/>
          <a:p>
            <a:pPr lvl="0">
              <a:defRPr b="0">
                <a:solidFill>
                  <a:srgbClr val="757575"/>
                </a:solidFill>
                <a:latin typeface="+mn-lt"/>
              </a:defRPr>
            </a:pPr>
            <a:r>
              <a:rPr b="0">
                <a:solidFill>
                  <a:srgbClr val="757575"/>
                </a:solidFill>
                <a:latin typeface="+mn-lt"/>
              </a:rPr>
              <a:t>그룹별 완료율 (가상 자료)</a:t>
            </a:r>
          </a:p>
        </c:rich>
      </c:tx>
      <c:overlay val="0"/>
    </c:title>
    <c:plotArea>
      <c:layout/>
      <c:barChart>
        <c:barDir val="bar"/>
        <c:varyColors val="0"/>
        <c:ser>
          <c:idx val="0"/>
          <c:order val="0"/>
          <c:tx>
            <c:strRef>
              <c:f>'대시보드'!$B$18</c:f>
            </c:strRef>
          </c:tx>
          <c:spPr>
            <a:solidFill>
              <a:srgbClr val="70AD47"/>
            </a:solidFill>
            <a:ln cmpd="sng">
              <a:noFill/>
            </a:ln>
          </c:spPr>
          <c:invertIfNegative val="0"/>
          <c:dLbls>
            <c:numFmt formatCode="General" sourceLinked="1"/>
            <c:txPr>
              <a:bodyPr/>
              <a:lstStyle/>
              <a:p>
                <a:pPr lvl="0">
                  <a:defRPr/>
                </a:pPr>
              </a:p>
            </c:txPr>
            <c:showLegendKey val="0"/>
            <c:showVal val="1"/>
            <c:showCatName val="0"/>
            <c:showSerName val="0"/>
            <c:showPercent val="0"/>
            <c:showBubbleSize val="0"/>
          </c:dLbls>
          <c:cat>
            <c:strRef>
              <c:f>'대시보드'!$A$19:$A$21</c:f>
            </c:strRef>
          </c:cat>
          <c:val>
            <c:numRef>
              <c:f>'대시보드'!$B$19:$B$21</c:f>
              <c:numCache/>
            </c:numRef>
          </c:val>
        </c:ser>
        <c:axId val="981295499"/>
        <c:axId val="1220365787"/>
      </c:barChart>
      <c:catAx>
        <c:axId val="981295499"/>
        <c:scaling>
          <c:orientation val="maxMin"/>
        </c:scaling>
        <c:delete val="0"/>
        <c:axPos val="l"/>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spPr>
          <a:ln>
            <a:noFill/>
          </a:ln>
        </c:spPr>
        <c:txPr>
          <a:bodyPr/>
          <a:lstStyle/>
          <a:p>
            <a:pPr lvl="0">
              <a:defRPr b="0">
                <a:solidFill>
                  <a:srgbClr val="000000"/>
                </a:solidFill>
                <a:latin typeface="+mn-lt"/>
              </a:defRPr>
            </a:pPr>
          </a:p>
        </c:txPr>
        <c:crossAx val="1220365787"/>
      </c:catAx>
      <c:valAx>
        <c:axId val="1220365787"/>
        <c:scaling>
          <c:orientation val="minMax"/>
          <c:max val="1.0"/>
          <c:min val="0.0"/>
        </c:scaling>
        <c:delete val="0"/>
        <c:axPos val="b"/>
        <c:majorGridlines>
          <c:spPr>
            <a:ln>
              <a:solidFill>
                <a:srgbClr val="B7B7B7"/>
              </a:solidFill>
            </a:ln>
          </c:spPr>
        </c:majorGridlines>
        <c:minorGridlines>
          <c:spPr>
            <a:ln>
              <a:solidFill>
                <a:srgbClr val="CCCCCC">
                  <a:alpha val="0"/>
                </a:srgbClr>
              </a:solidFill>
            </a:ln>
          </c:spPr>
        </c:minorGridlines>
        <c:title>
          <c:tx>
            <c:rich>
              <a:bodyPr/>
              <a:lstStyle/>
              <a:p>
                <a:pPr lvl="0">
                  <a:defRPr b="0">
                    <a:solidFill>
                      <a:srgbClr val="000000"/>
                    </a:solidFill>
                    <a:latin typeface="+mn-lt"/>
                  </a:defRPr>
                </a:pPr>
                <a:r>
                  <a:rPr b="0">
                    <a:solidFill>
                      <a:srgbClr val="000000"/>
                    </a:solidFill>
                    <a:latin typeface="+mn-lt"/>
                  </a:rPr>
                  <a:t/>
                </a:r>
              </a:p>
            </c:rich>
          </c:tx>
          <c:overlay val="0"/>
        </c:title>
        <c:numFmt formatCode="General" sourceLinked="1"/>
        <c:majorTickMark val="none"/>
        <c:minorTickMark val="none"/>
        <c:tickLblPos val="nextTo"/>
        <c:spPr>
          <a:ln>
            <a:noFill/>
          </a:ln>
        </c:spPr>
        <c:txPr>
          <a:bodyPr/>
          <a:lstStyle/>
          <a:p>
            <a:pPr lvl="0">
              <a:defRPr b="0">
                <a:solidFill>
                  <a:srgbClr val="000000"/>
                </a:solidFill>
                <a:latin typeface="+mn-lt"/>
              </a:defRPr>
            </a:pPr>
          </a:p>
        </c:txPr>
        <c:crossAx val="981295499"/>
        <c:crosses val="max"/>
      </c:valAx>
    </c:plotArea>
  </c:chart>
</c:chartSpac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 Id="rId2"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3</xdr:row>
      <xdr:rowOff>0</xdr:rowOff>
    </xdr:from>
    <xdr:ext cx="4572000" cy="2857500"/>
    <xdr:graphicFrame>
      <xdr:nvGraphicFramePr>
        <xdr:cNvPr id="1" name="Chart 1"/>
        <xdr:cNvGraphicFramePr/>
      </xdr:nvGraphicFramePr>
      <xdr:xfrm>
        <a:off x="0" y="0"/>
        <a:ext cx="0" cy="0"/>
      </xdr:xfrm>
      <a:graphic>
        <a:graphicData uri="http://schemas.openxmlformats.org/drawingml/2006/chart">
          <c:chart r:id="rId1"/>
        </a:graphicData>
      </a:graphic>
    </xdr:graphicFrame>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2</xdr:row>
      <xdr:rowOff>0</xdr:rowOff>
    </xdr:from>
    <xdr:ext cx="2857500" cy="2857500"/>
    <mc:AlternateContent>
      <mc:Choice Requires="sle15">
        <xdr:graphicFrame>
          <xdr:nvGraphicFramePr>
            <xdr:cNvPr id="1" name="소속_1"/>
            <xdr:cNvGraphicFramePr/>
          </xdr:nvGraphicFramePr>
          <xdr:xfrm>
            <a:off x="0" y="0"/>
            <a:ext cx="0" cy="0"/>
          </xdr:xfrm>
          <a:graphic>
            <a:graphicData uri="http://schemas.microsoft.com/office/drawing/2010/slicer">
              <x3Unk:slicer name="소속_1"/>
            </a:graphicData>
          </a:graphic>
        </xdr:graphicFrame>
      </mc:Choice>
      <mc:Fallback>
        <xdr:sp>
          <xdr:nvSpPr>
            <xdr:cNvPr id="1" name=""/>
            <xdr:cNvSpPr>
              <a:spLocks noTextEdit="1"/>
            </xdr:cNvSpPr>
          </xdr:nvSpPr>
          <xdr:spPr>
            <a:prstGeom prst="rect">
              <a:avLst/>
            </a:prstGeom>
            <a:solidFill>
              <a:prstClr val="white"/>
            </a:solidFill>
            <a:ln w="1">
              <a:solidFill>
                <a:prstClr val="green"/>
              </a:solidFill>
            </a:ln>
          </xdr:spPr>
          <xdr:txBody>
            <a:bodyPr horzOverflow="clip" vertOverflow="clip"/>
            <a:lstStyle/>
            <a:p>
              <a:r>
                <a:rPr lang="en-US"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fLocksWithSheet="0"/>
  </xdr:oneCellAnchor>
</xdr:wsD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6</xdr:col>
      <xdr:colOff>0</xdr:colOff>
      <xdr:row>3</xdr:row>
      <xdr:rowOff>0</xdr:rowOff>
    </xdr:from>
    <xdr:ext cx="4381500" cy="2476500"/>
    <xdr:graphicFrame>
      <xdr:nvGraphicFramePr>
        <xdr:cNvPr id="2" name="Chart 2"/>
        <xdr:cNvGraphicFramePr/>
      </xdr:nvGraphicFramePr>
      <xdr:xfrm>
        <a:off x="0" y="0"/>
        <a:ext cx="0" cy="0"/>
      </xdr:xfrm>
      <a:graphic>
        <a:graphicData uri="http://schemas.openxmlformats.org/drawingml/2006/chart">
          <c:chart r:id="rId1"/>
        </a:graphicData>
      </a:graphic>
    </xdr:graphicFrame>
    <xdr:clientData fLocksWithSheet="0"/>
  </xdr:oneCellAnchor>
  <xdr:oneCellAnchor>
    <xdr:from>
      <xdr:col>6</xdr:col>
      <xdr:colOff>0</xdr:colOff>
      <xdr:row>17</xdr:row>
      <xdr:rowOff>0</xdr:rowOff>
    </xdr:from>
    <xdr:ext cx="4381500" cy="2190750"/>
    <xdr:graphicFrame>
      <xdr:nvGraphicFramePr>
        <xdr:cNvPr id="3" name="Chart 3"/>
        <xdr:cNvGraphicFramePr/>
      </xdr:nvGraphicFramePr>
      <xdr:xfrm>
        <a:off x="0" y="0"/>
        <a:ext cx="0" cy="0"/>
      </xdr:xfrm>
      <a:graphic>
        <a:graphicData uri="http://schemas.openxmlformats.org/drawingml/2006/chart">
          <c:chart r:id="rId2"/>
        </a:graphicData>
      </a:graphic>
    </xdr:graphicFrame>
    <xdr:clientData fLocksWithSheet="0"/>
  </xdr:oneCellAnchor>
</xdr:wsDr>
</file>

<file path=xl/persons/person.xml><?xml version="1.0" encoding="utf-8"?>
<x18tc:personList xmlns:x18tc="http://schemas.microsoft.com/office/spreadsheetml/2018/threadedcomments"/>
</file>

<file path=xl/pivotCache/_rels/pivotCacheDefinition1.xml.rels><?xml version="1.0" encoding="UTF-8" standalone="yes"?><Relationships xmlns="http://schemas.openxmlformats.org/package/2006/relationships"><Relationship Type="http://schemas.openxmlformats.org/officeDocument/2006/relationships/externalLinkPath" TargetMode="External"/></Relationships>
</file>

<file path=xl/pivotCache/pivotCacheDefinition1.xml><?xml version="1.0" encoding="utf-8"?>
<pivot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invalid="1" refreshOnLoad="1">
  <cacheSource type="worksheet">
    <worksheetSource ref="A1:H13" sheet="교육운영"/>
  </cacheSource>
  <cacheFields>
    <cacheField name="응답ID" numFmtId="0">
      <sharedItems>
        <s v="R01"/>
        <s v="R02"/>
        <s v="R03"/>
        <s v="R04"/>
        <s v="R05"/>
        <s v="R06"/>
        <s v="R07"/>
        <s v="R08"/>
        <s v="R09"/>
        <s v="R10"/>
        <s v="R11"/>
        <s v="R12"/>
      </sharedItems>
    </cacheField>
    <cacheField name="소속" numFmtId="0">
      <sharedItems>
        <s v="A팀"/>
        <s v="B팀"/>
        <s v="C팀"/>
      </sharedItems>
    </cacheField>
    <cacheField name="과정코드" numFmtId="0">
      <sharedItems>
        <s v="C01"/>
        <s v="C02"/>
        <s v="C03"/>
      </sharedItems>
    </cacheField>
    <cacheField name="과정명" numFmtId="0">
      <sharedItems>
        <s v="피드백"/>
        <s v="코칭"/>
        <s v="갈등관리"/>
      </sharedItems>
    </cacheField>
    <cacheField name="상태" numFmtId="0">
      <sharedItems>
        <s v="완료"/>
        <s v="예정"/>
      </sharedItems>
    </cacheField>
    <cacheField name="1인예산(원)" numFmtId="3">
      <sharedItems containsSemiMixedTypes="0" containsString="0" containsNumber="1" containsInteger="1">
        <n v="150000.0"/>
        <n v="200000.0"/>
        <n v="250000.0"/>
      </sharedItems>
    </cacheField>
    <cacheField name="집행액(원)" numFmtId="164">
      <sharedItems containsSemiMixedTypes="0" containsString="0" containsNumber="1" containsInteger="1">
        <n v="150000.0"/>
        <n v="200000.0"/>
        <n v="250000.0"/>
        <n v="0.0"/>
      </sharedItems>
    </cacheField>
    <cacheField name="현업활용" numFmtId="0">
      <sharedItems containsSemiMixedTypes="0" containsString="0" containsNumber="1" containsInteger="1">
        <n v="4.0"/>
        <n v="3.0"/>
        <n v="5.0"/>
      </sharedItems>
    </cacheField>
  </cacheFields>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피벗" cacheId="0" dataCaption="" compact="0" compactData="0">
  <location ref="A3:D8" firstHeaderRow="0" firstDataRow="1" firstDataCol="1"/>
  <pivotFields>
    <pivotField name="응답ID" dataField="1" compact="0" outline="0" multipleItemSelectionAllowed="1" showAll="0">
      <items>
        <item x="0"/>
        <item x="1"/>
        <item x="2"/>
        <item x="3"/>
        <item x="4"/>
        <item x="5"/>
        <item x="6"/>
        <item x="7"/>
        <item x="8"/>
        <item x="9"/>
        <item x="10"/>
        <item x="11"/>
        <item t="default"/>
      </items>
    </pivotField>
    <pivotField name="소속" axis="axisRow" compact="0" outline="0" multipleItemSelectionAllowed="1" showAll="0" sortType="ascending">
      <items>
        <item x="0"/>
        <item x="1"/>
        <item x="2"/>
        <item t="default"/>
      </items>
    </pivotField>
    <pivotField name="과정코드" compact="0" outline="0" multipleItemSelectionAllowed="1" showAll="0">
      <items>
        <item x="0"/>
        <item x="1"/>
        <item x="2"/>
        <item t="default"/>
      </items>
    </pivotField>
    <pivotField name="과정명" compact="0" outline="0" multipleItemSelectionAllowed="1" showAll="0">
      <items>
        <item x="0"/>
        <item x="1"/>
        <item x="2"/>
        <item t="default"/>
      </items>
    </pivotField>
    <pivotField name="상태" axis="axisCol" compact="0" outline="0" multipleItemSelectionAllowed="1" showAll="0" sortType="ascending">
      <items>
        <item x="1"/>
        <item x="0"/>
        <item t="default"/>
      </items>
    </pivotField>
    <pivotField name="1인예산(원)" compact="0" numFmtId="3" outline="0" multipleItemSelectionAllowed="1" showAll="0">
      <items>
        <item x="0"/>
        <item x="1"/>
        <item x="2"/>
        <item t="default"/>
      </items>
    </pivotField>
    <pivotField name="집행액(원)" compact="0" numFmtId="164" outline="0" multipleItemSelectionAllowed="1" showAll="0">
      <items>
        <item x="0"/>
        <item x="1"/>
        <item x="2"/>
        <item x="3"/>
        <item t="default"/>
      </items>
    </pivotField>
    <pivotField name="현업활용" compact="0" outline="0" multipleItemSelectionAllowed="1" showAll="0">
      <items>
        <item x="0"/>
        <item x="1"/>
        <item x="2"/>
        <item t="default"/>
      </items>
    </pivotField>
  </pivotFields>
  <rowFields>
    <field x="1"/>
  </rowFields>
  <colFields>
    <field x="4"/>
  </colFields>
  <dataFields>
    <dataField name="응답ID 개수" fld="0" subtotal="count" baseField="0"/>
  </dataFields>
  <pivotTableStyleInfo name="Google Sheets Pivot Table Style" showRowHeaders="1" showColHeaders="1" showLastColumn="1"/>
</pivotTableDefinition>
</file>

<file path=xl/slicerCaches/slicerCache1.xml><?xml version="1.0" encoding="utf-8"?>
<x14:slicerCacheDefinition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name="SlicerCache_Table_1_Col_2" sourceName="소속">
  <x14:extLst>
    <ext uri="{2F2917AC-EB37-4324-AD4E-5DD8C200BD13}">
      <x15:tableSlicerCache tableId="1" column="2"/>
    </ext>
  </x14:extLst>
</x14:slicerCacheDefinition>
</file>

<file path=xl/slicers/slicer1.xml><?xml version="1.0" encoding="utf-8"?>
<x14:slicers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x14:slicer name="소속_1" cache="SlicerCache_Table_1_Col_2" caption="소속" rowHeight="247650"/>
</x14:slicers>
</file>

<file path=xl/tables/table1.xml><?xml version="1.0" encoding="utf-8"?>
<table xmlns="http://schemas.openxmlformats.org/spreadsheetml/2006/main" ref="A1:H13" displayName="Table_1" name="Table_1" id="1">
  <autoFilter ref="$A$1:$H$13"/>
  <tableColumns count="8">
    <tableColumn name="응답ID" id="1"/>
    <tableColumn name="소속" id="2"/>
    <tableColumn name="과정코드" id="3"/>
    <tableColumn name="과정명" id="4"/>
    <tableColumn name="상태" id="5"/>
    <tableColumn name="1인예산(원)" id="6"/>
    <tableColumn name="집행액(원)" id="7"/>
    <tableColumn name="현업활용" id="8"/>
  </tableColumns>
  <tableStyleInfo showColumnStripes="0" showFirstColumn="0" showLastColumn="0" showRowStripes="0"/>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3.xml"/><Relationship Id="rId3" Type="http://schemas.openxmlformats.org/officeDocument/2006/relationships/vmlDrawing" Target="../drawings/vmlDrawing1.v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3"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pivotTable" Target="../pivotTables/pivotTable1.xml"/><Relationship Id="rId2" Type="http://schemas.openxmlformats.org/officeDocument/2006/relationships/drawing" Target="../drawings/drawing6.xml"/><Relationship Id="rId3" Type="http://schemas.microsoft.com/office/2007/relationships/slicer" Target="../slicers/slicer1.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comments" Target="../comments2.xml"/><Relationship Id="rId2" Type="http://schemas.openxmlformats.org/officeDocument/2006/relationships/drawing" Target="../drawings/drawing8.xml"/><Relationship Id="rId3"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 t="s">
        <v>0</v>
      </c>
      <c r="B1" s="1" t="s">
        <v>2</v>
      </c>
      <c r="C1" s="1" t="s">
        <v>3</v>
      </c>
      <c r="D1" s="1" t="s">
        <v>4</v>
      </c>
      <c r="E1" s="1" t="s">
        <v>5</v>
      </c>
      <c r="F1" s="1" t="s">
        <v>6</v>
      </c>
    </row>
    <row r="2">
      <c r="A2" s="1" t="s">
        <v>7</v>
      </c>
      <c r="B2" s="1" t="s">
        <v>9</v>
      </c>
      <c r="C2" s="1">
        <v>5.0</v>
      </c>
      <c r="D2" s="1">
        <v>5.0</v>
      </c>
      <c r="E2" s="1">
        <v>4.0</v>
      </c>
      <c r="F2" s="1" t="s">
        <v>11</v>
      </c>
    </row>
    <row r="3">
      <c r="A3" s="1" t="s">
        <v>13</v>
      </c>
      <c r="B3" s="1" t="s">
        <v>9</v>
      </c>
      <c r="C3" s="1">
        <v>4.0</v>
      </c>
      <c r="D3" s="1">
        <v>5.0</v>
      </c>
      <c r="E3" s="1">
        <v>4.0</v>
      </c>
      <c r="F3" s="1" t="s">
        <v>15</v>
      </c>
    </row>
    <row r="4">
      <c r="A4" s="1" t="s">
        <v>17</v>
      </c>
      <c r="B4" s="1" t="s">
        <v>9</v>
      </c>
      <c r="C4" s="1">
        <v>4.0</v>
      </c>
      <c r="D4" s="1">
        <v>4.0</v>
      </c>
      <c r="E4" s="1">
        <v>3.0</v>
      </c>
      <c r="F4" s="1" t="s">
        <v>21</v>
      </c>
    </row>
    <row r="5">
      <c r="A5" s="1" t="s">
        <v>22</v>
      </c>
      <c r="B5" s="1" t="s">
        <v>9</v>
      </c>
      <c r="C5" s="1">
        <v>5.0</v>
      </c>
      <c r="D5" s="1">
        <v>5.0</v>
      </c>
      <c r="E5" s="1">
        <v>5.0</v>
      </c>
      <c r="F5" s="1" t="s">
        <v>24</v>
      </c>
    </row>
    <row r="6">
      <c r="A6" s="1" t="s">
        <v>25</v>
      </c>
      <c r="B6" s="1" t="s">
        <v>26</v>
      </c>
      <c r="C6" s="1">
        <v>3.0</v>
      </c>
      <c r="D6" s="1">
        <v>4.0</v>
      </c>
      <c r="E6" s="1">
        <v>3.0</v>
      </c>
      <c r="F6" s="1" t="s">
        <v>11</v>
      </c>
    </row>
    <row r="7">
      <c r="A7" s="1" t="s">
        <v>27</v>
      </c>
      <c r="B7" s="1" t="s">
        <v>26</v>
      </c>
      <c r="C7" s="1">
        <v>4.0</v>
      </c>
      <c r="D7" s="1">
        <v>4.0</v>
      </c>
      <c r="E7" s="1">
        <v>4.0</v>
      </c>
      <c r="F7" s="1" t="s">
        <v>28</v>
      </c>
    </row>
    <row r="8">
      <c r="A8" s="1" t="s">
        <v>29</v>
      </c>
      <c r="B8" s="1" t="s">
        <v>26</v>
      </c>
      <c r="C8" s="1">
        <v>4.0</v>
      </c>
      <c r="D8" s="1">
        <v>5.0</v>
      </c>
      <c r="E8" s="1">
        <v>4.0</v>
      </c>
      <c r="F8" s="1" t="s">
        <v>21</v>
      </c>
    </row>
    <row r="9">
      <c r="A9" s="1" t="s">
        <v>30</v>
      </c>
      <c r="B9" s="1" t="s">
        <v>26</v>
      </c>
      <c r="C9" s="1">
        <v>5.0</v>
      </c>
      <c r="D9" s="1">
        <v>5.0</v>
      </c>
      <c r="E9" s="1">
        <v>4.0</v>
      </c>
      <c r="F9" s="1" t="s">
        <v>31</v>
      </c>
    </row>
    <row r="10">
      <c r="A10" s="1" t="s">
        <v>32</v>
      </c>
      <c r="B10" s="1" t="s">
        <v>33</v>
      </c>
      <c r="C10" s="1">
        <v>3.0</v>
      </c>
      <c r="D10" s="1">
        <v>4.0</v>
      </c>
      <c r="E10" s="1">
        <v>3.0</v>
      </c>
      <c r="F10" s="1" t="s">
        <v>34</v>
      </c>
    </row>
    <row r="11">
      <c r="A11" s="1" t="s">
        <v>35</v>
      </c>
      <c r="B11" s="1" t="s">
        <v>33</v>
      </c>
      <c r="C11" s="1">
        <v>4.0</v>
      </c>
      <c r="D11" s="1">
        <v>4.0</v>
      </c>
      <c r="E11" s="1">
        <v>4.0</v>
      </c>
      <c r="F11" s="1" t="s">
        <v>11</v>
      </c>
    </row>
    <row r="12">
      <c r="A12" s="1" t="s">
        <v>36</v>
      </c>
      <c r="B12" s="1" t="s">
        <v>33</v>
      </c>
      <c r="C12" s="1">
        <v>5.0</v>
      </c>
      <c r="D12" s="1">
        <v>5.0</v>
      </c>
      <c r="E12" s="1">
        <v>5.0</v>
      </c>
      <c r="F12" s="1" t="s">
        <v>37</v>
      </c>
    </row>
    <row r="13">
      <c r="A13" s="1" t="s">
        <v>38</v>
      </c>
      <c r="B13" s="1" t="s">
        <v>33</v>
      </c>
      <c r="C13" s="1">
        <v>4.0</v>
      </c>
      <c r="D13" s="1">
        <v>4.0</v>
      </c>
      <c r="E13" s="1">
        <v>4.0</v>
      </c>
      <c r="F13" s="1" t="s">
        <v>21</v>
      </c>
    </row>
  </sheetData>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32.63"/>
    <col customWidth="1" min="2" max="5" width="11.38"/>
  </cols>
  <sheetData>
    <row r="1">
      <c r="A1" s="11" t="s">
        <v>56</v>
      </c>
    </row>
    <row r="2">
      <c r="A2" s="5" t="s">
        <v>57</v>
      </c>
    </row>
    <row r="4">
      <c r="A4" s="2" t="s">
        <v>58</v>
      </c>
      <c r="B4" s="14"/>
    </row>
    <row r="5">
      <c r="A5" s="1" t="s">
        <v>59</v>
      </c>
      <c r="B5" s="8">
        <f>COUNTA('시트1'!A2:A1000)</f>
        <v>12</v>
      </c>
    </row>
    <row r="7">
      <c r="A7" s="2" t="s">
        <v>61</v>
      </c>
      <c r="B7" s="14"/>
      <c r="C7" s="14"/>
      <c r="D7" s="14"/>
      <c r="E7" s="14"/>
    </row>
    <row r="8">
      <c r="A8" s="12" t="s">
        <v>63</v>
      </c>
      <c r="B8" s="16" t="s">
        <v>64</v>
      </c>
      <c r="C8" s="16" t="s">
        <v>66</v>
      </c>
      <c r="D8" s="16" t="s">
        <v>67</v>
      </c>
      <c r="E8" s="16" t="s">
        <v>68</v>
      </c>
    </row>
    <row r="9">
      <c r="A9" s="8" t="str">
        <f>'시트1'!C1</f>
        <v>내용만족</v>
      </c>
      <c r="B9" s="19">
        <f>AVERAGE('시트1'!C2:C1000)</f>
        <v>4.166666667</v>
      </c>
      <c r="C9" s="20">
        <f>COUNT('시트1'!C2:C1000)</f>
        <v>12</v>
      </c>
      <c r="D9" s="20">
        <f>MIN('시트1'!C2:C1000)</f>
        <v>3</v>
      </c>
      <c r="E9" s="20">
        <f>MAX('시트1'!C2:C1000)</f>
        <v>5</v>
      </c>
    </row>
    <row r="10">
      <c r="A10" s="8" t="str">
        <f>'시트1'!D1</f>
        <v>강사만족</v>
      </c>
      <c r="B10" s="19">
        <f>AVERAGE('시트1'!D2:D1000)</f>
        <v>4.5</v>
      </c>
      <c r="C10" s="20">
        <f>COUNT('시트1'!D2:D1000)</f>
        <v>12</v>
      </c>
      <c r="D10" s="20">
        <f>MIN('시트1'!D2:D1000)</f>
        <v>4</v>
      </c>
      <c r="E10" s="20">
        <f>MAX('시트1'!D2:D1000)</f>
        <v>5</v>
      </c>
    </row>
    <row r="11">
      <c r="A11" s="8" t="str">
        <f>'시트1'!E1</f>
        <v>현업활용</v>
      </c>
      <c r="B11" s="19">
        <f>AVERAGE('시트1'!E2:E1000)</f>
        <v>3.916666667</v>
      </c>
      <c r="C11" s="20">
        <f>COUNT('시트1'!E2:E1000)</f>
        <v>12</v>
      </c>
      <c r="D11" s="20">
        <f>MIN('시트1'!E2:E1000)</f>
        <v>3</v>
      </c>
      <c r="E11" s="20">
        <f>MAX('시트1'!E2:E1000)</f>
        <v>5</v>
      </c>
    </row>
    <row r="13">
      <c r="A13" s="2" t="s">
        <v>76</v>
      </c>
      <c r="B13" s="14"/>
      <c r="C13" s="14"/>
    </row>
    <row r="14">
      <c r="A14" s="12" t="s">
        <v>6</v>
      </c>
      <c r="B14" s="16" t="s">
        <v>77</v>
      </c>
      <c r="C14" s="16" t="s">
        <v>78</v>
      </c>
    </row>
    <row r="15">
      <c r="A15" s="8" t="str">
        <f>IFERROR(__xludf.DUMMYFUNCTION("QUERY('시트1'!F2:F1000,""select F, count(F) where F is not null group by F order by count(F) desc, F label count(F) ''"",0)"),"역할 연습 시간을 늘려주세요")</f>
        <v>역할 연습 시간을 늘려주세요</v>
      </c>
      <c r="B15" s="20">
        <f>IFERROR(__xludf.DUMMYFUNCTION("""COMPUTED_VALUE"""),3.0)</f>
        <v>3</v>
      </c>
      <c r="C15" s="27">
        <f t="array" ref="C15:C23">IF(LEN(B15:B23),B15:B23/COUNTA('시트1'!F2:F1000),)</f>
        <v>0.25</v>
      </c>
    </row>
    <row r="16">
      <c r="A16" s="8" t="str">
        <f>IFERROR(__xludf.DUMMYFUNCTION("""COMPUTED_VALUE"""),"후속 자료가 필요합니다")</f>
        <v>후속 자료가 필요합니다</v>
      </c>
      <c r="B16" s="20">
        <f>IFERROR(__xludf.DUMMYFUNCTION("""COMPUTED_VALUE"""),3.0)</f>
        <v>3</v>
      </c>
      <c r="C16" s="27">
        <v>0.25</v>
      </c>
    </row>
    <row r="17">
      <c r="A17" s="8" t="str">
        <f>IFERROR(__xludf.DUMMYFUNCTION("""COMPUTED_VALUE"""),"바로 적용할 수 있겠습니다")</f>
        <v>바로 적용할 수 있겠습니다</v>
      </c>
      <c r="B17" s="20">
        <f>IFERROR(__xludf.DUMMYFUNCTION("""COMPUTED_VALUE"""),1.0)</f>
        <v>1</v>
      </c>
      <c r="C17" s="27">
        <v>0.08333333333333333</v>
      </c>
    </row>
    <row r="18">
      <c r="A18" s="8" t="str">
        <f>IFERROR(__xludf.DUMMYFUNCTION("""COMPUTED_VALUE"""),"사례가 실무와 비슷했습니다")</f>
        <v>사례가 실무와 비슷했습니다</v>
      </c>
      <c r="B18" s="20">
        <f>IFERROR(__xludf.DUMMYFUNCTION("""COMPUTED_VALUE"""),1.0)</f>
        <v>1</v>
      </c>
      <c r="C18" s="27">
        <v>0.08333333333333333</v>
      </c>
    </row>
    <row r="19">
      <c r="A19" s="8" t="str">
        <f>IFERROR(__xludf.DUMMYFUNCTION("""COMPUTED_VALUE"""),"사례를 더 다양하게 주세요")</f>
        <v>사례를 더 다양하게 주세요</v>
      </c>
      <c r="B19" s="20">
        <f>IFERROR(__xludf.DUMMYFUNCTION("""COMPUTED_VALUE"""),1.0)</f>
        <v>1</v>
      </c>
      <c r="C19" s="27">
        <v>0.08333333333333333</v>
      </c>
    </row>
    <row r="20">
      <c r="A20" s="8" t="str">
        <f>IFERROR(__xludf.DUMMYFUNCTION("""COMPUTED_VALUE"""),"설명이 쉬웠습니다")</f>
        <v>설명이 쉬웠습니다</v>
      </c>
      <c r="B20" s="20">
        <f>IFERROR(__xludf.DUMMYFUNCTION("""COMPUTED_VALUE"""),1.0)</f>
        <v>1</v>
      </c>
      <c r="C20" s="27">
        <v>0.08333333333333333</v>
      </c>
    </row>
    <row r="21">
      <c r="A21" s="8" t="str">
        <f>IFERROR(__xludf.DUMMYFUNCTION("""COMPUTED_VALUE"""),"준비물이 잘 갖춰져 있었습니다")</f>
        <v>준비물이 잘 갖춰져 있었습니다</v>
      </c>
      <c r="B21" s="20">
        <f>IFERROR(__xludf.DUMMYFUNCTION("""COMPUTED_VALUE"""),1.0)</f>
        <v>1</v>
      </c>
      <c r="C21" s="27">
        <v>0.08333333333333333</v>
      </c>
    </row>
    <row r="22">
      <c r="A22" s="8" t="str">
        <f>IFERROR(__xludf.DUMMYFUNCTION("""COMPUTED_VALUE"""),"피드백 문장을 바로 써봤습니다")</f>
        <v>피드백 문장을 바로 써봤습니다</v>
      </c>
      <c r="B22" s="20">
        <f>IFERROR(__xludf.DUMMYFUNCTION("""COMPUTED_VALUE"""),1.0)</f>
        <v>1</v>
      </c>
      <c r="C22" s="27">
        <v>0.08333333333333333</v>
      </c>
    </row>
    <row r="23">
      <c r="B23" s="20"/>
      <c r="C23" s="27"/>
    </row>
    <row r="25">
      <c r="A25" s="23" t="s">
        <v>91</v>
      </c>
      <c r="B25" s="30"/>
      <c r="C25" s="30"/>
    </row>
    <row r="26">
      <c r="A26" s="8" t="str">
        <f>"• 총 "&amp;B5&amp;"명 응답 / 유효 응답 수: "&amp;A9&amp;" "&amp;C9&amp;"건, "&amp;A10&amp;" "&amp;C10&amp;"건, "&amp;A11&amp;" "&amp;C11&amp;"건"</f>
        <v>• 총 12명 응답 / 유효 응답 수: 내용만족 12건, 강사만족 12건, 현업활용 12건</v>
      </c>
    </row>
    <row r="27">
      <c r="A27" s="8" t="str">
        <f t="array" ref="A27">"• 평균 최고: "&amp;INDEX(A9:A11,MATCH(MAX(B9:B11),B9:B11,0))&amp;" "&amp;TEXT(MAX(B9:B11),"0.00")&amp;"점 / 최저: "&amp;INDEX(A9:A11,MATCH(MIN(B9:B11),B9:B11,0))&amp;" "&amp;TEXT(MIN(B9:B11),"0.00")&amp;"점"</f>
        <v>• 평균 최고: 강사만족 4.50점 / 최저: 현업활용 3.92점</v>
      </c>
    </row>
    <row r="28">
      <c r="A28" s="8" t="str">
        <f>"• 최다 의견: '"&amp;A15&amp;"', '"&amp;A16&amp;"' 각 "&amp;B15&amp;"건"</f>
        <v>• 최다 의견: '역할 연습 시간을 늘려주세요', '후속 자료가 필요합니다' 각 3건</v>
      </c>
    </row>
    <row r="29">
      <c r="A29" s="1" t="s">
        <v>101</v>
      </c>
    </row>
    <row r="31">
      <c r="A31" s="33" t="s">
        <v>102</v>
      </c>
      <c r="B31" s="34"/>
      <c r="C31" s="34"/>
    </row>
    <row r="32">
      <c r="A32" s="1" t="s">
        <v>103</v>
      </c>
    </row>
    <row r="33">
      <c r="A33" s="1" t="s">
        <v>104</v>
      </c>
    </row>
    <row r="34">
      <c r="A34" s="1" t="s">
        <v>105</v>
      </c>
    </row>
    <row r="35">
      <c r="A35" s="1" t="s">
        <v>106</v>
      </c>
    </row>
    <row r="36">
      <c r="A36" s="35" t="s">
        <v>107</v>
      </c>
    </row>
  </sheetData>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1.75"/>
    <col customWidth="1" min="2" max="2" width="3.88"/>
    <col customWidth="1" min="3" max="3" width="6.75"/>
  </cols>
  <sheetData>
    <row r="1">
      <c r="A1" s="2" t="s">
        <v>1</v>
      </c>
      <c r="B1" s="2" t="s">
        <v>8</v>
      </c>
      <c r="C1" s="2" t="s">
        <v>10</v>
      </c>
    </row>
    <row r="2">
      <c r="A2" s="3" t="s">
        <v>12</v>
      </c>
      <c r="B2" s="3" t="s">
        <v>14</v>
      </c>
      <c r="C2" s="4">
        <v>150000.0</v>
      </c>
    </row>
    <row r="3">
      <c r="A3" s="3" t="s">
        <v>16</v>
      </c>
      <c r="B3" s="3" t="s">
        <v>18</v>
      </c>
      <c r="C3" s="4">
        <v>200000.0</v>
      </c>
    </row>
    <row r="4">
      <c r="A4" s="3" t="s">
        <v>19</v>
      </c>
      <c r="B4" s="3" t="s">
        <v>20</v>
      </c>
      <c r="C4" s="4">
        <v>250000.0</v>
      </c>
    </row>
    <row r="6">
      <c r="A6" s="5" t="s">
        <v>23</v>
      </c>
    </row>
  </sheetData>
  <drawing r:id="rId2"/>
  <legacyDrawing r:id="rId3"/>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1" max="1" width="33.63"/>
    <col customWidth="1" min="2" max="2" width="2.75"/>
    <col customWidth="1" min="3" max="3" width="6.38"/>
    <col customWidth="1" min="4" max="4" width="3.88"/>
    <col customWidth="1" min="5" max="5" width="4.88"/>
    <col customWidth="1" min="6" max="7" width="6.75"/>
    <col customWidth="1" min="8" max="8" width="3.88"/>
  </cols>
  <sheetData>
    <row r="1">
      <c r="A1" s="2" t="s">
        <v>0</v>
      </c>
      <c r="B1" s="2" t="s">
        <v>39</v>
      </c>
      <c r="C1" s="2" t="s">
        <v>1</v>
      </c>
      <c r="D1" s="2" t="s">
        <v>8</v>
      </c>
      <c r="E1" s="2" t="s">
        <v>40</v>
      </c>
      <c r="F1" s="2" t="s">
        <v>10</v>
      </c>
      <c r="G1" s="2" t="s">
        <v>41</v>
      </c>
      <c r="H1" s="2" t="s">
        <v>5</v>
      </c>
      <c r="J1" s="5" t="s">
        <v>42</v>
      </c>
    </row>
    <row r="2">
      <c r="A2" s="6" t="str">
        <f>'시트1'!A2</f>
        <v>R01</v>
      </c>
      <c r="B2" s="6" t="str">
        <f>'시트1'!B2</f>
        <v>A팀</v>
      </c>
      <c r="C2" s="7" t="s">
        <v>12</v>
      </c>
      <c r="D2" s="8" t="str">
        <f t="array" ref="D2">IFERROR(_xlfn.XLOOKUP($C2,'과정마스터'!$A$2:$A1000,'과정마스터'!$B$2:$B1000),"")</f>
        <v>피드백</v>
      </c>
      <c r="E2" s="7" t="s">
        <v>43</v>
      </c>
      <c r="F2" s="9">
        <f t="array" ref="F2">IFERROR(_xlfn.XLOOKUP($C2,'과정마스터'!$A$2:$A1000,'과정마스터'!$C$2:$C1000),"")</f>
        <v>150000</v>
      </c>
      <c r="G2" s="10">
        <f t="shared" ref="G2:G13" si="1">IF($E2="완료",$F2,0)</f>
        <v>150000</v>
      </c>
      <c r="H2" s="8">
        <f t="array" ref="H2">IFERROR(LET(v,_xlfn.XLOOKUP($A2,'시트1'!$A$2:$A1000,'시트1'!$E$2:$E1000),IF(v="","",v)),"")</f>
        <v>4</v>
      </c>
    </row>
    <row r="3">
      <c r="A3" s="6" t="str">
        <f>'시트1'!A3</f>
        <v>R02</v>
      </c>
      <c r="B3" s="6" t="str">
        <f>'시트1'!B3</f>
        <v>A팀</v>
      </c>
      <c r="C3" s="7" t="s">
        <v>12</v>
      </c>
      <c r="D3" s="8" t="str">
        <f t="array" ref="D3">IFERROR(_xlfn.XLOOKUP($C3,'과정마스터'!$A$2:$A1000,'과정마스터'!$B$2:$B1000),"")</f>
        <v>피드백</v>
      </c>
      <c r="E3" s="7" t="s">
        <v>43</v>
      </c>
      <c r="F3" s="9">
        <f t="array" ref="F3">IFERROR(_xlfn.XLOOKUP($C3,'과정마스터'!$A$2:$A1000,'과정마스터'!$C$2:$C1000),"")</f>
        <v>150000</v>
      </c>
      <c r="G3" s="10">
        <f t="shared" si="1"/>
        <v>150000</v>
      </c>
      <c r="H3" s="8">
        <f t="array" ref="H3">IFERROR(LET(v,_xlfn.XLOOKUP($A3,'시트1'!$A$2:$A1000,'시트1'!$E$2:$E1000),IF(v="","",v)),"")</f>
        <v>4</v>
      </c>
    </row>
    <row r="4">
      <c r="A4" s="6" t="str">
        <f>'시트1'!A4</f>
        <v>R03</v>
      </c>
      <c r="B4" s="6" t="str">
        <f>'시트1'!B4</f>
        <v>A팀</v>
      </c>
      <c r="C4" s="7" t="s">
        <v>12</v>
      </c>
      <c r="D4" s="8" t="str">
        <f t="array" ref="D4">IFERROR(_xlfn.XLOOKUP($C4,'과정마스터'!$A$2:$A1000,'과정마스터'!$B$2:$B1000),"")</f>
        <v>피드백</v>
      </c>
      <c r="E4" s="7" t="s">
        <v>43</v>
      </c>
      <c r="F4" s="9">
        <f t="array" ref="F4">IFERROR(_xlfn.XLOOKUP($C4,'과정마스터'!$A$2:$A1000,'과정마스터'!$C$2:$C1000),"")</f>
        <v>150000</v>
      </c>
      <c r="G4" s="10">
        <f t="shared" si="1"/>
        <v>150000</v>
      </c>
      <c r="H4" s="8">
        <f t="array" ref="H4">IFERROR(LET(v,_xlfn.XLOOKUP($A4,'시트1'!$A$2:$A1000,'시트1'!$E$2:$E1000),IF(v="","",v)),"")</f>
        <v>3</v>
      </c>
    </row>
    <row r="5">
      <c r="A5" s="6" t="str">
        <f>'시트1'!A5</f>
        <v>R04</v>
      </c>
      <c r="B5" s="6" t="str">
        <f>'시트1'!B5</f>
        <v>A팀</v>
      </c>
      <c r="C5" s="7" t="s">
        <v>12</v>
      </c>
      <c r="D5" s="8" t="str">
        <f t="array" ref="D5">IFERROR(_xlfn.XLOOKUP($C5,'과정마스터'!$A$2:$A1000,'과정마스터'!$B$2:$B1000),"")</f>
        <v>피드백</v>
      </c>
      <c r="E5" s="7" t="s">
        <v>43</v>
      </c>
      <c r="F5" s="9">
        <f t="array" ref="F5">IFERROR(_xlfn.XLOOKUP($C5,'과정마스터'!$A$2:$A1000,'과정마스터'!$C$2:$C1000),"")</f>
        <v>150000</v>
      </c>
      <c r="G5" s="10">
        <f t="shared" si="1"/>
        <v>150000</v>
      </c>
      <c r="H5" s="8">
        <f t="array" ref="H5">IFERROR(LET(v,_xlfn.XLOOKUP($A5,'시트1'!$A$2:$A1000,'시트1'!$E$2:$E1000),IF(v="","",v)),"")</f>
        <v>5</v>
      </c>
    </row>
    <row r="6">
      <c r="A6" s="6" t="str">
        <f>'시트1'!A6</f>
        <v>R05</v>
      </c>
      <c r="B6" s="6" t="str">
        <f>'시트1'!B6</f>
        <v>B팀</v>
      </c>
      <c r="C6" s="7" t="s">
        <v>16</v>
      </c>
      <c r="D6" s="8" t="str">
        <f t="array" ref="D6">IFERROR(_xlfn.XLOOKUP($C6,'과정마스터'!$A$2:$A1000,'과정마스터'!$B$2:$B1000),"")</f>
        <v>코칭</v>
      </c>
      <c r="E6" s="7" t="s">
        <v>43</v>
      </c>
      <c r="F6" s="9">
        <f t="array" ref="F6">IFERROR(_xlfn.XLOOKUP($C6,'과정마스터'!$A$2:$A1000,'과정마스터'!$C$2:$C1000),"")</f>
        <v>200000</v>
      </c>
      <c r="G6" s="10">
        <f t="shared" si="1"/>
        <v>200000</v>
      </c>
      <c r="H6" s="8">
        <f t="array" ref="H6">IFERROR(LET(v,_xlfn.XLOOKUP($A6,'시트1'!$A$2:$A1000,'시트1'!$E$2:$E1000),IF(v="","",v)),"")</f>
        <v>3</v>
      </c>
    </row>
    <row r="7">
      <c r="A7" s="6" t="str">
        <f>'시트1'!A7</f>
        <v>R06</v>
      </c>
      <c r="B7" s="6" t="str">
        <f>'시트1'!B7</f>
        <v>B팀</v>
      </c>
      <c r="C7" s="7" t="s">
        <v>16</v>
      </c>
      <c r="D7" s="8" t="str">
        <f t="array" ref="D7">IFERROR(_xlfn.XLOOKUP($C7,'과정마스터'!$A$2:$A1000,'과정마스터'!$B$2:$B1000),"")</f>
        <v>코칭</v>
      </c>
      <c r="E7" s="7" t="s">
        <v>43</v>
      </c>
      <c r="F7" s="9">
        <f t="array" ref="F7">IFERROR(_xlfn.XLOOKUP($C7,'과정마스터'!$A$2:$A1000,'과정마스터'!$C$2:$C1000),"")</f>
        <v>200000</v>
      </c>
      <c r="G7" s="10">
        <f t="shared" si="1"/>
        <v>200000</v>
      </c>
      <c r="H7" s="8">
        <f t="array" ref="H7">IFERROR(LET(v,_xlfn.XLOOKUP($A7,'시트1'!$A$2:$A1000,'시트1'!$E$2:$E1000),IF(v="","",v)),"")</f>
        <v>4</v>
      </c>
    </row>
    <row r="8">
      <c r="A8" s="6" t="str">
        <f>'시트1'!A8</f>
        <v>R07</v>
      </c>
      <c r="B8" s="6" t="str">
        <f>'시트1'!B8</f>
        <v>B팀</v>
      </c>
      <c r="C8" s="7" t="s">
        <v>16</v>
      </c>
      <c r="D8" s="8" t="str">
        <f t="array" ref="D8">IFERROR(_xlfn.XLOOKUP($C8,'과정마스터'!$A$2:$A1000,'과정마스터'!$B$2:$B1000),"")</f>
        <v>코칭</v>
      </c>
      <c r="E8" s="7" t="s">
        <v>43</v>
      </c>
      <c r="F8" s="9">
        <f t="array" ref="F8">IFERROR(_xlfn.XLOOKUP($C8,'과정마스터'!$A$2:$A1000,'과정마스터'!$C$2:$C1000),"")</f>
        <v>200000</v>
      </c>
      <c r="G8" s="10">
        <f t="shared" si="1"/>
        <v>200000</v>
      </c>
      <c r="H8" s="8">
        <f t="array" ref="H8">IFERROR(LET(v,_xlfn.XLOOKUP($A8,'시트1'!$A$2:$A1000,'시트1'!$E$2:$E1000),IF(v="","",v)),"")</f>
        <v>4</v>
      </c>
    </row>
    <row r="9">
      <c r="A9" s="6" t="str">
        <f>'시트1'!A9</f>
        <v>R08</v>
      </c>
      <c r="B9" s="6" t="str">
        <f>'시트1'!B9</f>
        <v>B팀</v>
      </c>
      <c r="C9" s="7" t="s">
        <v>16</v>
      </c>
      <c r="D9" s="8" t="str">
        <f t="array" ref="D9">IFERROR(_xlfn.XLOOKUP($C9,'과정마스터'!$A$2:$A1000,'과정마스터'!$B$2:$B1000),"")</f>
        <v>코칭</v>
      </c>
      <c r="E9" s="7" t="s">
        <v>43</v>
      </c>
      <c r="F9" s="9">
        <f t="array" ref="F9">IFERROR(_xlfn.XLOOKUP($C9,'과정마스터'!$A$2:$A1000,'과정마스터'!$C$2:$C1000),"")</f>
        <v>200000</v>
      </c>
      <c r="G9" s="10">
        <f t="shared" si="1"/>
        <v>200000</v>
      </c>
      <c r="H9" s="8">
        <f t="array" ref="H9">IFERROR(LET(v,_xlfn.XLOOKUP($A9,'시트1'!$A$2:$A1000,'시트1'!$E$2:$E1000),IF(v="","",v)),"")</f>
        <v>4</v>
      </c>
    </row>
    <row r="10">
      <c r="A10" s="6" t="str">
        <f>'시트1'!A10</f>
        <v>R09</v>
      </c>
      <c r="B10" s="6" t="str">
        <f>'시트1'!B10</f>
        <v>C팀</v>
      </c>
      <c r="C10" s="7" t="s">
        <v>19</v>
      </c>
      <c r="D10" s="8" t="str">
        <f t="array" ref="D10">IFERROR(_xlfn.XLOOKUP($C10,'과정마스터'!$A$2:$A1000,'과정마스터'!$B$2:$B1000),"")</f>
        <v>갈등관리</v>
      </c>
      <c r="E10" s="7" t="s">
        <v>43</v>
      </c>
      <c r="F10" s="9">
        <f t="array" ref="F10">IFERROR(_xlfn.XLOOKUP($C10,'과정마스터'!$A$2:$A1000,'과정마스터'!$C$2:$C1000),"")</f>
        <v>250000</v>
      </c>
      <c r="G10" s="10">
        <f t="shared" si="1"/>
        <v>250000</v>
      </c>
      <c r="H10" s="8">
        <f t="array" ref="H10">IFERROR(LET(v,_xlfn.XLOOKUP($A10,'시트1'!$A$2:$A1000,'시트1'!$E$2:$E1000),IF(v="","",v)),"")</f>
        <v>3</v>
      </c>
    </row>
    <row r="11">
      <c r="A11" s="6" t="str">
        <f>'시트1'!A11</f>
        <v>R10</v>
      </c>
      <c r="B11" s="6" t="str">
        <f>'시트1'!B11</f>
        <v>C팀</v>
      </c>
      <c r="C11" s="7" t="s">
        <v>19</v>
      </c>
      <c r="D11" s="8" t="str">
        <f t="array" ref="D11">IFERROR(_xlfn.XLOOKUP($C11,'과정마스터'!$A$2:$A1000,'과정마스터'!$B$2:$B1000),"")</f>
        <v>갈등관리</v>
      </c>
      <c r="E11" s="7" t="s">
        <v>48</v>
      </c>
      <c r="F11" s="9">
        <f t="array" ref="F11">IFERROR(_xlfn.XLOOKUP($C11,'과정마스터'!$A$2:$A1000,'과정마스터'!$C$2:$C1000),"")</f>
        <v>250000</v>
      </c>
      <c r="G11" s="10">
        <f t="shared" si="1"/>
        <v>0</v>
      </c>
      <c r="H11" s="8">
        <f t="array" ref="H11">IFERROR(LET(v,_xlfn.XLOOKUP($A11,'시트1'!$A$2:$A1000,'시트1'!$E$2:$E1000),IF(v="","",v)),"")</f>
        <v>4</v>
      </c>
    </row>
    <row r="12">
      <c r="A12" s="6" t="str">
        <f>'시트1'!A12</f>
        <v>R11</v>
      </c>
      <c r="B12" s="6" t="str">
        <f>'시트1'!B12</f>
        <v>C팀</v>
      </c>
      <c r="C12" s="7" t="s">
        <v>19</v>
      </c>
      <c r="D12" s="8" t="str">
        <f t="array" ref="D12">IFERROR(_xlfn.XLOOKUP($C12,'과정마스터'!$A$2:$A1000,'과정마스터'!$B$2:$B1000),"")</f>
        <v>갈등관리</v>
      </c>
      <c r="E12" s="7" t="s">
        <v>48</v>
      </c>
      <c r="F12" s="9">
        <f t="array" ref="F12">IFERROR(_xlfn.XLOOKUP($C12,'과정마스터'!$A$2:$A1000,'과정마스터'!$C$2:$C1000),"")</f>
        <v>250000</v>
      </c>
      <c r="G12" s="10">
        <f t="shared" si="1"/>
        <v>0</v>
      </c>
      <c r="H12" s="8">
        <f t="array" ref="H12">IFERROR(LET(v,_xlfn.XLOOKUP($A12,'시트1'!$A$2:$A1000,'시트1'!$E$2:$E1000),IF(v="","",v)),"")</f>
        <v>5</v>
      </c>
    </row>
    <row r="13">
      <c r="A13" s="6" t="str">
        <f>'시트1'!A13</f>
        <v>R12</v>
      </c>
      <c r="B13" s="6" t="str">
        <f>'시트1'!B13</f>
        <v>C팀</v>
      </c>
      <c r="C13" s="7" t="s">
        <v>19</v>
      </c>
      <c r="D13" s="8" t="str">
        <f t="array" ref="D13">IFERROR(_xlfn.XLOOKUP($C13,'과정마스터'!$A$2:$A1000,'과정마스터'!$B$2:$B1000),"")</f>
        <v>갈등관리</v>
      </c>
      <c r="E13" s="7" t="s">
        <v>48</v>
      </c>
      <c r="F13" s="9">
        <f t="array" ref="F13">IFERROR(_xlfn.XLOOKUP($C13,'과정마스터'!$A$2:$A1000,'과정마스터'!$C$2:$C1000),"")</f>
        <v>250000</v>
      </c>
      <c r="G13" s="10">
        <f t="shared" si="1"/>
        <v>0</v>
      </c>
      <c r="H13" s="8">
        <f t="array" ref="H13">IFERROR(LET(v,_xlfn.XLOOKUP($A13,'시트1'!$A$2:$A1000,'시트1'!$E$2:$E1000),IF(v="","",v)),"")</f>
        <v>4</v>
      </c>
    </row>
    <row r="15">
      <c r="A15" s="31"/>
    </row>
  </sheetData>
  <customSheetViews>
    <customSheetView guid="{F9CC1DF2-C773-414C-ABBE-57115C0DF10B}" filter="1" showAutoFilter="1">
      <autoFilter ref="$A$1:$H$13"/>
    </customSheetView>
  </customSheetViews>
  <conditionalFormatting sqref="E2:E13">
    <cfRule type="cellIs" dxfId="7" priority="1" stopIfTrue="1" operator="equal">
      <formula>"완료"</formula>
    </cfRule>
  </conditionalFormatting>
  <conditionalFormatting sqref="E2:E13">
    <cfRule type="cellIs" dxfId="8" priority="2" stopIfTrue="1" operator="equal">
      <formula>"예정"</formula>
    </cfRule>
  </conditionalFormatting>
  <conditionalFormatting sqref="H2:H13">
    <cfRule type="expression" dxfId="9" priority="3" stopIfTrue="1">
      <formula>AND(ISNUMBER($H2),$H2&lt;=3)</formula>
    </cfRule>
  </conditionalFormatting>
  <dataValidations>
    <dataValidation type="list" allowBlank="1" showInputMessage="1" showErrorMessage="1" prompt="과정마스터의 과정코드(C01~C03)만 입력 가능" sqref="C2:C13">
      <formula1>'과정마스터'!$A$2:$A$4</formula1>
    </dataValidation>
    <dataValidation type="list" allowBlank="1" showInputMessage="1" showErrorMessage="1" prompt="완료 또는 예정만 입력 가능" sqref="E2:E13">
      <formula1>"완료,예정"</formula1>
    </dataValidation>
  </dataValidations>
  <drawing r:id="rId1"/>
  <tableParts count="1">
    <tablePart r:id="rId3"/>
  </tablePart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28.88"/>
    <col customWidth="1" min="2" max="2" width="8.0"/>
    <col customWidth="1" min="3" max="4" width="8.25"/>
    <col customWidth="1" min="5" max="5" width="6.75"/>
    <col customWidth="1" min="6" max="6" width="6.25"/>
  </cols>
  <sheetData>
    <row r="1">
      <c r="A1" s="11" t="s">
        <v>44</v>
      </c>
    </row>
    <row r="2">
      <c r="A2" s="5" t="s">
        <v>45</v>
      </c>
    </row>
    <row r="4">
      <c r="A4" s="1" t="s">
        <v>46</v>
      </c>
      <c r="B4" s="3" t="s">
        <v>43</v>
      </c>
    </row>
    <row r="5">
      <c r="A5" s="1" t="s">
        <v>47</v>
      </c>
      <c r="B5" s="3" t="s">
        <v>48</v>
      </c>
    </row>
    <row r="7">
      <c r="A7" s="2" t="s">
        <v>49</v>
      </c>
    </row>
    <row r="8">
      <c r="A8" s="12" t="s">
        <v>50</v>
      </c>
      <c r="B8" s="12" t="s">
        <v>51</v>
      </c>
      <c r="C8" s="12" t="s">
        <v>52</v>
      </c>
      <c r="D8" s="12" t="s">
        <v>41</v>
      </c>
      <c r="E8" s="12" t="s">
        <v>53</v>
      </c>
      <c r="F8" s="12" t="s">
        <v>54</v>
      </c>
    </row>
    <row r="9">
      <c r="A9" s="6" t="str">
        <f>IFERROR(__xludf.DUMMYFUNCTION("SORT(UNIQUE(FILTER('교육운영'!B2:B1000,'교육운영'!B2:B1000&lt;&gt;"""")))"),"A팀")</f>
        <v>A팀</v>
      </c>
      <c r="B9" s="8">
        <f>COUNTIFS('교육운영'!$B$2:$B1000,$A9)</f>
        <v>4</v>
      </c>
      <c r="C9" s="10">
        <f>SUMIFS('교육운영'!$F$2:$F1000,'교육운영'!$B$2:$B1000,$A9)</f>
        <v>600000</v>
      </c>
      <c r="D9" s="10">
        <f>SUMIFS('교육운영'!$G$2:$G1000,'교육운영'!$B$2:$B1000,$A9)</f>
        <v>600000</v>
      </c>
      <c r="E9" s="8">
        <f>COUNTIFS('교육운영'!$B$2:$B1000,$A9,'교육운영'!$E$2:$E1000,$B$4)</f>
        <v>4</v>
      </c>
      <c r="F9" s="13">
        <f t="shared" ref="F9:F12" si="1">IFERROR(E9/B9,0)</f>
        <v>1</v>
      </c>
    </row>
    <row r="10">
      <c r="A10" s="8" t="str">
        <f>IFERROR(__xludf.DUMMYFUNCTION("""COMPUTED_VALUE"""),"B팀")</f>
        <v>B팀</v>
      </c>
      <c r="B10" s="8">
        <f>COUNTIFS('교육운영'!$B$2:$B1000,$A10)</f>
        <v>4</v>
      </c>
      <c r="C10" s="10">
        <f>SUMIFS('교육운영'!$F$2:$F1000,'교육운영'!$B$2:$B1000,$A10)</f>
        <v>800000</v>
      </c>
      <c r="D10" s="10">
        <f>SUMIFS('교육운영'!$G$2:$G1000,'교육운영'!$B$2:$B1000,$A10)</f>
        <v>800000</v>
      </c>
      <c r="E10" s="8">
        <f>COUNTIFS('교육운영'!$B$2:$B1000,$A10,'교육운영'!$E$2:$E1000,$B$4)</f>
        <v>4</v>
      </c>
      <c r="F10" s="13">
        <f t="shared" si="1"/>
        <v>1</v>
      </c>
    </row>
    <row r="11">
      <c r="A11" s="8" t="str">
        <f>IFERROR(__xludf.DUMMYFUNCTION("""COMPUTED_VALUE"""),"C팀")</f>
        <v>C팀</v>
      </c>
      <c r="B11" s="8">
        <f>COUNTIFS('교육운영'!$B$2:$B1000,$A11)</f>
        <v>4</v>
      </c>
      <c r="C11" s="10">
        <f>SUMIFS('교육운영'!$F$2:$F1000,'교육운영'!$B$2:$B1000,$A11)</f>
        <v>1000000</v>
      </c>
      <c r="D11" s="10">
        <f>SUMIFS('교육운영'!$G$2:$G1000,'교육운영'!$B$2:$B1000,$A11)</f>
        <v>250000</v>
      </c>
      <c r="E11" s="8">
        <f>COUNTIFS('교육운영'!$B$2:$B1000,$A11,'교육운영'!$E$2:$E1000,$B$4)</f>
        <v>1</v>
      </c>
      <c r="F11" s="13">
        <f t="shared" si="1"/>
        <v>0.25</v>
      </c>
    </row>
    <row r="12">
      <c r="A12" s="12" t="s">
        <v>60</v>
      </c>
      <c r="B12" s="15">
        <f t="shared" ref="B12:E12" si="2">SUM(B9:B11)</f>
        <v>12</v>
      </c>
      <c r="C12" s="17">
        <f t="shared" si="2"/>
        <v>2400000</v>
      </c>
      <c r="D12" s="17">
        <f t="shared" si="2"/>
        <v>1650000</v>
      </c>
      <c r="E12" s="15">
        <f t="shared" si="2"/>
        <v>9</v>
      </c>
      <c r="F12" s="18">
        <f t="shared" si="1"/>
        <v>0.75</v>
      </c>
    </row>
    <row r="14">
      <c r="A14" s="2" t="s">
        <v>69</v>
      </c>
    </row>
    <row r="15">
      <c r="A15" s="15" t="str">
        <f t="array" ref="A15:E15">'교육운영'!A1:E1</f>
        <v>응답ID</v>
      </c>
      <c r="B15" s="8" t="s">
        <v>39</v>
      </c>
      <c r="C15" s="8" t="s">
        <v>1</v>
      </c>
      <c r="D15" s="8" t="s">
        <v>8</v>
      </c>
      <c r="E15" s="8" t="s">
        <v>40</v>
      </c>
    </row>
    <row r="16">
      <c r="A16" s="8" t="str">
        <f>IFERROR(__xludf.DUMMYFUNCTION("IFERROR(FILTER('교육운영'!A2:E1000,'교육운영'!E2:E1000=$B$5),""예정자 없음"")"),"R10")</f>
        <v>R10</v>
      </c>
      <c r="B16" s="8" t="str">
        <f>IFERROR(__xludf.DUMMYFUNCTION("""COMPUTED_VALUE"""),"C팀")</f>
        <v>C팀</v>
      </c>
      <c r="C16" s="8" t="str">
        <f>IFERROR(__xludf.DUMMYFUNCTION("""COMPUTED_VALUE"""),"C03")</f>
        <v>C03</v>
      </c>
      <c r="D16" s="8" t="str">
        <f>IFERROR(__xludf.DUMMYFUNCTION("""COMPUTED_VALUE"""),"갈등관리")</f>
        <v>갈등관리</v>
      </c>
      <c r="E16" s="8" t="str">
        <f>IFERROR(__xludf.DUMMYFUNCTION("""COMPUTED_VALUE"""),"예정")</f>
        <v>예정</v>
      </c>
    </row>
    <row r="17">
      <c r="A17" s="8" t="str">
        <f>IFERROR(__xludf.DUMMYFUNCTION("""COMPUTED_VALUE"""),"R11")</f>
        <v>R11</v>
      </c>
      <c r="B17" s="8" t="str">
        <f>IFERROR(__xludf.DUMMYFUNCTION("""COMPUTED_VALUE"""),"C팀")</f>
        <v>C팀</v>
      </c>
      <c r="C17" s="8" t="str">
        <f>IFERROR(__xludf.DUMMYFUNCTION("""COMPUTED_VALUE"""),"C03")</f>
        <v>C03</v>
      </c>
      <c r="D17" s="8" t="str">
        <f>IFERROR(__xludf.DUMMYFUNCTION("""COMPUTED_VALUE"""),"갈등관리")</f>
        <v>갈등관리</v>
      </c>
      <c r="E17" s="8" t="str">
        <f>IFERROR(__xludf.DUMMYFUNCTION("""COMPUTED_VALUE"""),"예정")</f>
        <v>예정</v>
      </c>
    </row>
    <row r="18">
      <c r="A18" s="8" t="str">
        <f>IFERROR(__xludf.DUMMYFUNCTION("""COMPUTED_VALUE"""),"R12")</f>
        <v>R12</v>
      </c>
      <c r="B18" s="8" t="str">
        <f>IFERROR(__xludf.DUMMYFUNCTION("""COMPUTED_VALUE"""),"C팀")</f>
        <v>C팀</v>
      </c>
      <c r="C18" s="8" t="str">
        <f>IFERROR(__xludf.DUMMYFUNCTION("""COMPUTED_VALUE"""),"C03")</f>
        <v>C03</v>
      </c>
      <c r="D18" s="8" t="str">
        <f>IFERROR(__xludf.DUMMYFUNCTION("""COMPUTED_VALUE"""),"갈등관리")</f>
        <v>갈등관리</v>
      </c>
      <c r="E18" s="8" t="str">
        <f>IFERROR(__xludf.DUMMYFUNCTION("""COMPUTED_VALUE"""),"예정")</f>
        <v>예정</v>
      </c>
    </row>
    <row r="21">
      <c r="A21" s="2" t="s">
        <v>70</v>
      </c>
    </row>
    <row r="22">
      <c r="A22" s="8" t="str">
        <f>IFERROR(__xludf.DUMMYFUNCTION("QUERY('교육운영'!A1:H1000,""select C, D, count(A), sum(F), sum(G), avg(H) where C is not null group by C, D order by C label C '과정코드', D '과정명', count(A) '인원', sum(F) '계획예산(원)', sum(G) '집행액(원)', avg(H) '현업활용 평균' format sum(F) '#,##0', sum(G) '#,##0', avg(H) '0"&amp;".00'"",1)"),"과정코드")</f>
        <v>과정코드</v>
      </c>
      <c r="B22" s="8" t="str">
        <f>IFERROR(__xludf.DUMMYFUNCTION("""COMPUTED_VALUE"""),"과정명")</f>
        <v>과정명</v>
      </c>
      <c r="C22" s="8" t="str">
        <f>IFERROR(__xludf.DUMMYFUNCTION("""COMPUTED_VALUE"""),"인원")</f>
        <v>인원</v>
      </c>
      <c r="D22" s="8" t="str">
        <f>IFERROR(__xludf.DUMMYFUNCTION("""COMPUTED_VALUE"""),"계획예산(원)")</f>
        <v>계획예산(원)</v>
      </c>
      <c r="E22" s="8" t="str">
        <f>IFERROR(__xludf.DUMMYFUNCTION("""COMPUTED_VALUE"""),"집행액(원)")</f>
        <v>집행액(원)</v>
      </c>
      <c r="F22" s="8" t="str">
        <f>IFERROR(__xludf.DUMMYFUNCTION("""COMPUTED_VALUE"""),"현업활용 평균")</f>
        <v>현업활용 평균</v>
      </c>
    </row>
    <row r="23">
      <c r="A23" s="8" t="str">
        <f>IFERROR(__xludf.DUMMYFUNCTION("""COMPUTED_VALUE"""),"C01")</f>
        <v>C01</v>
      </c>
      <c r="B23" s="8" t="str">
        <f>IFERROR(__xludf.DUMMYFUNCTION("""COMPUTED_VALUE"""),"피드백")</f>
        <v>피드백</v>
      </c>
      <c r="C23" s="8">
        <f>IFERROR(__xludf.DUMMYFUNCTION("""COMPUTED_VALUE"""),4.0)</f>
        <v>4</v>
      </c>
      <c r="D23" s="21">
        <f>IFERROR(__xludf.DUMMYFUNCTION("""COMPUTED_VALUE"""),600000.0)</f>
        <v>600000</v>
      </c>
      <c r="E23" s="21">
        <f>IFERROR(__xludf.DUMMYFUNCTION("""COMPUTED_VALUE"""),600000.0)</f>
        <v>600000</v>
      </c>
      <c r="F23" s="22">
        <f>IFERROR(__xludf.DUMMYFUNCTION("""COMPUTED_VALUE"""),4.0)</f>
        <v>4</v>
      </c>
    </row>
    <row r="24">
      <c r="A24" s="8" t="str">
        <f>IFERROR(__xludf.DUMMYFUNCTION("""COMPUTED_VALUE"""),"C02")</f>
        <v>C02</v>
      </c>
      <c r="B24" s="8" t="str">
        <f>IFERROR(__xludf.DUMMYFUNCTION("""COMPUTED_VALUE"""),"코칭")</f>
        <v>코칭</v>
      </c>
      <c r="C24" s="8">
        <f>IFERROR(__xludf.DUMMYFUNCTION("""COMPUTED_VALUE"""),4.0)</f>
        <v>4</v>
      </c>
      <c r="D24" s="21">
        <f>IFERROR(__xludf.DUMMYFUNCTION("""COMPUTED_VALUE"""),800000.0)</f>
        <v>800000</v>
      </c>
      <c r="E24" s="21">
        <f>IFERROR(__xludf.DUMMYFUNCTION("""COMPUTED_VALUE"""),800000.0)</f>
        <v>800000</v>
      </c>
      <c r="F24" s="22">
        <f>IFERROR(__xludf.DUMMYFUNCTION("""COMPUTED_VALUE"""),3.75)</f>
        <v>3.75</v>
      </c>
    </row>
    <row r="25">
      <c r="A25" s="8" t="str">
        <f>IFERROR(__xludf.DUMMYFUNCTION("""COMPUTED_VALUE"""),"C03")</f>
        <v>C03</v>
      </c>
      <c r="B25" s="8" t="str">
        <f>IFERROR(__xludf.DUMMYFUNCTION("""COMPUTED_VALUE"""),"갈등관리")</f>
        <v>갈등관리</v>
      </c>
      <c r="C25" s="8">
        <f>IFERROR(__xludf.DUMMYFUNCTION("""COMPUTED_VALUE"""),4.0)</f>
        <v>4</v>
      </c>
      <c r="D25" s="21">
        <f>IFERROR(__xludf.DUMMYFUNCTION("""COMPUTED_VALUE"""),1000000.0)</f>
        <v>1000000</v>
      </c>
      <c r="E25" s="21">
        <f>IFERROR(__xludf.DUMMYFUNCTION("""COMPUTED_VALUE"""),250000.0)</f>
        <v>250000</v>
      </c>
      <c r="F25" s="22">
        <f>IFERROR(__xludf.DUMMYFUNCTION("""COMPUTED_VALUE"""),4.0)</f>
        <v>4</v>
      </c>
    </row>
    <row r="28">
      <c r="A28" s="23" t="s">
        <v>71</v>
      </c>
    </row>
    <row r="29">
      <c r="A29" s="12" t="s">
        <v>63</v>
      </c>
      <c r="B29" s="12" t="s">
        <v>72</v>
      </c>
      <c r="C29" s="12" t="s">
        <v>73</v>
      </c>
      <c r="D29" s="12" t="s">
        <v>74</v>
      </c>
    </row>
    <row r="30">
      <c r="A30" s="1" t="s">
        <v>75</v>
      </c>
      <c r="B30" s="24">
        <v>12.0</v>
      </c>
      <c r="C30" s="8">
        <f>COUNTA('교육운영'!A2:A1000)</f>
        <v>12</v>
      </c>
      <c r="D30" s="8" t="str">
        <f t="shared" ref="D30:D36" si="3">IF(C30=B30,"✅ 일치","❌ 불일치")</f>
        <v>✅ 일치</v>
      </c>
    </row>
    <row r="31">
      <c r="A31" s="1" t="s">
        <v>79</v>
      </c>
      <c r="B31" s="4">
        <v>2400000.0</v>
      </c>
      <c r="C31" s="9">
        <f>SUM('교육운영'!F2:F1000)</f>
        <v>2400000</v>
      </c>
      <c r="D31" s="8" t="str">
        <f t="shared" si="3"/>
        <v>✅ 일치</v>
      </c>
    </row>
    <row r="32">
      <c r="A32" s="1" t="s">
        <v>80</v>
      </c>
      <c r="B32" s="4">
        <v>1650000.0</v>
      </c>
      <c r="C32" s="9">
        <f>SUM('교육운영'!G2:G1000)</f>
        <v>1650000</v>
      </c>
      <c r="D32" s="8" t="str">
        <f t="shared" si="3"/>
        <v>✅ 일치</v>
      </c>
    </row>
    <row r="33">
      <c r="A33" s="1" t="s">
        <v>81</v>
      </c>
      <c r="B33" s="24">
        <v>9.0</v>
      </c>
      <c r="C33" s="8">
        <f>COUNTIF('교육운영'!E2:E1000,$B$4)</f>
        <v>9</v>
      </c>
      <c r="D33" s="8" t="str">
        <f t="shared" si="3"/>
        <v>✅ 일치</v>
      </c>
    </row>
    <row r="34">
      <c r="A34" s="1" t="s">
        <v>54</v>
      </c>
      <c r="B34" s="25">
        <v>0.75</v>
      </c>
      <c r="C34" s="13">
        <f>IFERROR(C33/C30,0)</f>
        <v>0.75</v>
      </c>
      <c r="D34" s="8" t="str">
        <f t="shared" si="3"/>
        <v>✅ 일치</v>
      </c>
    </row>
    <row r="35">
      <c r="A35" s="1" t="s">
        <v>82</v>
      </c>
      <c r="B35" s="3" t="b">
        <v>1</v>
      </c>
      <c r="C35" s="8" t="b">
        <f>AND(B12=C30,C12=C31,D12=C32,E12=C33)</f>
        <v>1</v>
      </c>
      <c r="D35" s="8" t="str">
        <f t="shared" si="3"/>
        <v>✅ 일치</v>
      </c>
    </row>
    <row r="36">
      <c r="A36" s="1" t="s">
        <v>87</v>
      </c>
      <c r="B36" s="24">
        <v>0.0</v>
      </c>
      <c r="C36" s="8">
        <f>SUMPRODUCT(ISERROR('교육운영'!A1:H13)*1)+SUMPRODUCT(ISERROR('과정마스터'!A1:C4)*1)+SUMPRODUCT(ISERROR(A8:F26)*1)</f>
        <v>0</v>
      </c>
      <c r="D36" s="8" t="str">
        <f t="shared" si="3"/>
        <v>✅ 일치</v>
      </c>
    </row>
  </sheetData>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5" t="s">
        <v>55</v>
      </c>
    </row>
    <row r="3"/>
    <row r="4"/>
    <row r="5"/>
    <row r="6"/>
    <row r="7"/>
    <row r="8"/>
  </sheetData>
  <drawing r:id="rId2"/>
  <extLst>
    <ext uri="{3A4CF648-6AED-40f4-86FF-DC5316D8AED3}">
      <x14:slicerList>
        <x14:slicer r:id="rId3"/>
      </x14:slicerList>
    </ext>
  </extLst>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sheetData>
    <row r="1">
      <c r="A1" s="11" t="s">
        <v>83</v>
      </c>
    </row>
    <row r="2">
      <c r="A2" s="5" t="s">
        <v>84</v>
      </c>
    </row>
    <row r="4">
      <c r="A4" s="1" t="s">
        <v>85</v>
      </c>
      <c r="B4" s="26">
        <v>0.0</v>
      </c>
    </row>
    <row r="5">
      <c r="A5" s="1" t="s">
        <v>86</v>
      </c>
      <c r="B5" s="26">
        <v>0.0</v>
      </c>
    </row>
    <row r="7">
      <c r="A7" s="1" t="s">
        <v>88</v>
      </c>
      <c r="B7" s="28">
        <f>SUM('교육운영'!F2:F1000)</f>
        <v>2400000</v>
      </c>
    </row>
    <row r="8">
      <c r="A8" s="12" t="s">
        <v>89</v>
      </c>
      <c r="B8" s="29">
        <f>B7*(1+B4)*(1+B5)</f>
        <v>2400000</v>
      </c>
    </row>
    <row r="9">
      <c r="A9" s="1" t="s">
        <v>90</v>
      </c>
      <c r="B9" s="10">
        <f>B8-B7</f>
        <v>0</v>
      </c>
    </row>
    <row r="11">
      <c r="A11" s="2" t="s">
        <v>92</v>
      </c>
    </row>
    <row r="12">
      <c r="A12" s="12" t="s">
        <v>93</v>
      </c>
      <c r="B12" s="12" t="s">
        <v>94</v>
      </c>
      <c r="C12" s="12" t="s">
        <v>95</v>
      </c>
      <c r="D12" s="12" t="s">
        <v>96</v>
      </c>
      <c r="E12" s="12" t="s">
        <v>97</v>
      </c>
    </row>
    <row r="13">
      <c r="A13" s="1" t="s">
        <v>98</v>
      </c>
      <c r="B13" s="25">
        <v>0.0</v>
      </c>
      <c r="C13" s="25">
        <v>0.0</v>
      </c>
      <c r="D13" s="9">
        <f t="shared" ref="D13:D15" si="1">$B$7*(1+B13)*(1+C13)</f>
        <v>2400000</v>
      </c>
      <c r="E13" s="10">
        <f t="shared" ref="E13:E15" si="2">D13-$B$7</f>
        <v>0</v>
      </c>
    </row>
    <row r="14">
      <c r="A14" s="1" t="s">
        <v>99</v>
      </c>
      <c r="B14" s="25">
        <v>0.1</v>
      </c>
      <c r="C14" s="25">
        <v>0.0</v>
      </c>
      <c r="D14" s="9">
        <f t="shared" si="1"/>
        <v>2640000</v>
      </c>
      <c r="E14" s="10">
        <f t="shared" si="2"/>
        <v>240000</v>
      </c>
    </row>
    <row r="15">
      <c r="A15" s="1" t="s">
        <v>100</v>
      </c>
      <c r="B15" s="25">
        <v>0.0</v>
      </c>
      <c r="C15" s="25">
        <v>0.2</v>
      </c>
      <c r="D15" s="9">
        <f t="shared" si="1"/>
        <v>2880000</v>
      </c>
      <c r="E15" s="10">
        <f t="shared" si="2"/>
        <v>480000</v>
      </c>
    </row>
    <row r="17">
      <c r="A17" s="32" t="str">
        <f>"※ 인원증가율은 비용 민감도 가정입니다. 예: 20% 적용 시 "&amp;COUNTA('교육운영'!A2:A1000)&amp;"명×1.2="&amp;TEXT(COUNTA('교육운영'!A2:A1000)*(1+C15),"0.0")&amp;"명으로 정수 모집인원이 아니며, 과정별 배정도 가정하지 않고 총액에 비례 적용했습니다."</f>
        <v>※ 인원증가율은 비용 민감도 가정입니다. 예: 20% 적용 시 12명×1.2=14.4명으로 정수 모집인원이 아니며, 과정별 배정도 가정하지 않고 총액에 비례 적용했습니다.</v>
      </c>
    </row>
  </sheetData>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18.88"/>
    <col customWidth="1" min="2" max="5" width="15.13"/>
  </cols>
  <sheetData>
    <row r="1">
      <c r="A1" s="11" t="s">
        <v>108</v>
      </c>
    </row>
    <row r="2">
      <c r="A2" s="5" t="s">
        <v>109</v>
      </c>
    </row>
    <row r="4">
      <c r="A4" s="12" t="s">
        <v>110</v>
      </c>
      <c r="B4" s="36" t="s">
        <v>111</v>
      </c>
      <c r="C4" s="37" t="str">
        <f>IF(B4="전체","*",B4)</f>
        <v>*</v>
      </c>
      <c r="R4" s="38" t="s">
        <v>112</v>
      </c>
    </row>
    <row r="5">
      <c r="R5" s="39" t="s">
        <v>111</v>
      </c>
    </row>
    <row r="6">
      <c r="A6" s="40" t="s">
        <v>52</v>
      </c>
      <c r="B6" s="40" t="s">
        <v>41</v>
      </c>
      <c r="C6" s="40" t="s">
        <v>113</v>
      </c>
      <c r="D6" s="40" t="s">
        <v>54</v>
      </c>
      <c r="E6" s="40" t="s">
        <v>114</v>
      </c>
      <c r="R6" s="37" t="str">
        <f>IFERROR(__xludf.DUMMYFUNCTION("SORT(UNIQUE(FILTER('교육운영'!B2:B1000,'교육운영'!B2:B1000&lt;&gt;"""")))"),"A팀")</f>
        <v>A팀</v>
      </c>
    </row>
    <row r="7">
      <c r="A7" s="41">
        <f>SUMIFS('교육운영'!F2:F1000,'교육운영'!B2:B1000,$C$4)</f>
        <v>2400000</v>
      </c>
      <c r="B7" s="42">
        <f>SUMIFS('교육운영'!G2:G1000,'교육운영'!B2:B1000,$C$4)</f>
        <v>1650000</v>
      </c>
      <c r="C7" s="42">
        <f>A7-B7</f>
        <v>750000</v>
      </c>
      <c r="D7" s="43">
        <f>IFERROR(COUNTIFS('교육운영'!B2:B1000,$C$4,'교육운영'!E2:E1000,'고급분석'!$B$4)/COUNTIFS('교육운영'!B2:B1000,$C$4),0)</f>
        <v>0.75</v>
      </c>
      <c r="E7" s="44" t="str">
        <f>COUNTIFS('교육운영'!B2:B1000,$C$4,'교육운영'!E2:E1000,'고급분석'!$B$4)&amp;" / "&amp;COUNTIFS('교육운영'!B2:B1000,$C$4)</f>
        <v>9 / 12</v>
      </c>
      <c r="R7" s="8" t="str">
        <f>IFERROR(__xludf.DUMMYFUNCTION("""COMPUTED_VALUE"""),"B팀")</f>
        <v>B팀</v>
      </c>
    </row>
    <row r="8">
      <c r="R8" s="8" t="str">
        <f>IFERROR(__xludf.DUMMYFUNCTION("""COMPUTED_VALUE"""),"C팀")</f>
        <v>C팀</v>
      </c>
    </row>
    <row r="10">
      <c r="A10" s="2" t="s">
        <v>115</v>
      </c>
    </row>
    <row r="11">
      <c r="A11" s="12" t="s">
        <v>8</v>
      </c>
      <c r="B11" s="12" t="s">
        <v>52</v>
      </c>
      <c r="C11" s="12" t="s">
        <v>41</v>
      </c>
      <c r="D11" s="12" t="s">
        <v>1</v>
      </c>
    </row>
    <row r="12">
      <c r="A12" s="6" t="str">
        <f>'과정마스터'!B2</f>
        <v>피드백</v>
      </c>
      <c r="B12" s="10">
        <f>SUMIFS('교육운영'!$F$2:$F1000,'교육운영'!$C$2:$C1000,$D12,'교육운영'!$B$2:$B1000,$C$4)</f>
        <v>600000</v>
      </c>
      <c r="C12" s="10">
        <f>SUMIFS('교육운영'!$G$2:$G1000,'교육운영'!$C$2:$C1000,$D12,'교육운영'!$B$2:$B1000,$C$4)</f>
        <v>600000</v>
      </c>
      <c r="D12" s="6" t="str">
        <f>'과정마스터'!A2</f>
        <v>C01</v>
      </c>
    </row>
    <row r="13">
      <c r="A13" s="6" t="str">
        <f>'과정마스터'!B3</f>
        <v>코칭</v>
      </c>
      <c r="B13" s="10">
        <f>SUMIFS('교육운영'!$F$2:$F1000,'교육운영'!$C$2:$C1000,$D13,'교육운영'!$B$2:$B1000,$C$4)</f>
        <v>800000</v>
      </c>
      <c r="C13" s="10">
        <f>SUMIFS('교육운영'!$G$2:$G1000,'교육운영'!$C$2:$C1000,$D13,'교육운영'!$B$2:$B1000,$C$4)</f>
        <v>800000</v>
      </c>
      <c r="D13" s="6" t="str">
        <f>'과정마스터'!A3</f>
        <v>C02</v>
      </c>
    </row>
    <row r="14">
      <c r="A14" s="6" t="str">
        <f>'과정마스터'!B4</f>
        <v>갈등관리</v>
      </c>
      <c r="B14" s="10">
        <f>SUMIFS('교육운영'!$F$2:$F1000,'교육운영'!$C$2:$C1000,$D14,'교육운영'!$B$2:$B1000,$C$4)</f>
        <v>1000000</v>
      </c>
      <c r="C14" s="10">
        <f>SUMIFS('교육운영'!$G$2:$G1000,'교육운영'!$C$2:$C1000,$D14,'교육운영'!$B$2:$B1000,$C$4)</f>
        <v>250000</v>
      </c>
      <c r="D14" s="6" t="str">
        <f>'과정마스터'!A4</f>
        <v>C03</v>
      </c>
    </row>
    <row r="17">
      <c r="A17" s="2" t="s">
        <v>116</v>
      </c>
    </row>
    <row r="18">
      <c r="A18" s="12" t="s">
        <v>50</v>
      </c>
      <c r="B18" s="12" t="s">
        <v>54</v>
      </c>
    </row>
    <row r="19">
      <c r="A19" s="8" t="str">
        <f>IFERROR(__xludf.DUMMYFUNCTION("FILTER(R6:R8,($B$4=""전체"")+(R6:R8=$B$4))"),"A팀")</f>
        <v>A팀</v>
      </c>
      <c r="B19" s="13">
        <f>IF($A19="",,IFERROR(COUNTIFS('교육운영'!$B$2:$B1000,$A19,'교육운영'!$E$2:$E1000,'고급분석'!$B$4)/COUNTIFS('교육운영'!$B$2:$B1000,$A19),0))</f>
        <v>1</v>
      </c>
    </row>
    <row r="20">
      <c r="A20" s="8" t="str">
        <f>IFERROR(__xludf.DUMMYFUNCTION("""COMPUTED_VALUE"""),"B팀")</f>
        <v>B팀</v>
      </c>
      <c r="B20" s="13">
        <f>IF($A20="",,IFERROR(COUNTIFS('교육운영'!$B$2:$B1000,$A20,'교육운영'!$E$2:$E1000,'고급분석'!$B$4)/COUNTIFS('교육운영'!$B$2:$B1000,$A20),0))</f>
        <v>1</v>
      </c>
    </row>
    <row r="21">
      <c r="A21" s="8" t="str">
        <f>IFERROR(__xludf.DUMMYFUNCTION("""COMPUTED_VALUE"""),"C팀")</f>
        <v>C팀</v>
      </c>
      <c r="B21" s="13">
        <f>IF($A21="",,IFERROR(COUNTIFS('교육운영'!$B$2:$B1000,$A21,'교육운영'!$E$2:$E1000,'고급분석'!$B$4)/COUNTIFS('교육운영'!$B$2:$B1000,$A21),0))</f>
        <v>0.25</v>
      </c>
    </row>
    <row r="24">
      <c r="A24" s="2" t="s">
        <v>117</v>
      </c>
    </row>
    <row r="25">
      <c r="A25" s="15" t="str">
        <f t="array" ref="A25:E25">'교육운영'!A1:E1</f>
        <v>응답ID</v>
      </c>
      <c r="B25" s="8" t="s">
        <v>39</v>
      </c>
      <c r="C25" s="8" t="s">
        <v>1</v>
      </c>
      <c r="D25" s="8" t="s">
        <v>8</v>
      </c>
      <c r="E25" s="8" t="s">
        <v>40</v>
      </c>
    </row>
    <row r="26">
      <c r="A26" s="8" t="str">
        <f>IFERROR(__xludf.DUMMYFUNCTION("IFERROR(FILTER('교육운영'!A2:E1000,'교육운영'!E2:E1000='고급분석'!$B$5,($B$4=""전체"")+('교육운영'!B2:B1000=$B$4)),""해당 없음"")"),"R10")</f>
        <v>R10</v>
      </c>
      <c r="B26" s="8" t="str">
        <f>IFERROR(__xludf.DUMMYFUNCTION("""COMPUTED_VALUE"""),"C팀")</f>
        <v>C팀</v>
      </c>
      <c r="C26" s="8" t="str">
        <f>IFERROR(__xludf.DUMMYFUNCTION("""COMPUTED_VALUE"""),"C03")</f>
        <v>C03</v>
      </c>
      <c r="D26" s="8" t="str">
        <f>IFERROR(__xludf.DUMMYFUNCTION("""COMPUTED_VALUE"""),"갈등관리")</f>
        <v>갈등관리</v>
      </c>
      <c r="E26" s="8" t="str">
        <f>IFERROR(__xludf.DUMMYFUNCTION("""COMPUTED_VALUE"""),"예정")</f>
        <v>예정</v>
      </c>
    </row>
    <row r="27">
      <c r="A27" s="8" t="str">
        <f>IFERROR(__xludf.DUMMYFUNCTION("""COMPUTED_VALUE"""),"R11")</f>
        <v>R11</v>
      </c>
      <c r="B27" s="8" t="str">
        <f>IFERROR(__xludf.DUMMYFUNCTION("""COMPUTED_VALUE"""),"C팀")</f>
        <v>C팀</v>
      </c>
      <c r="C27" s="8" t="str">
        <f>IFERROR(__xludf.DUMMYFUNCTION("""COMPUTED_VALUE"""),"C03")</f>
        <v>C03</v>
      </c>
      <c r="D27" s="8" t="str">
        <f>IFERROR(__xludf.DUMMYFUNCTION("""COMPUTED_VALUE"""),"갈등관리")</f>
        <v>갈등관리</v>
      </c>
      <c r="E27" s="8" t="str">
        <f>IFERROR(__xludf.DUMMYFUNCTION("""COMPUTED_VALUE"""),"예정")</f>
        <v>예정</v>
      </c>
    </row>
    <row r="28">
      <c r="A28" s="8" t="str">
        <f>IFERROR(__xludf.DUMMYFUNCTION("""COMPUTED_VALUE"""),"R12")</f>
        <v>R12</v>
      </c>
      <c r="B28" s="8" t="str">
        <f>IFERROR(__xludf.DUMMYFUNCTION("""COMPUTED_VALUE"""),"C팀")</f>
        <v>C팀</v>
      </c>
      <c r="C28" s="8" t="str">
        <f>IFERROR(__xludf.DUMMYFUNCTION("""COMPUTED_VALUE"""),"C03")</f>
        <v>C03</v>
      </c>
      <c r="D28" s="8" t="str">
        <f>IFERROR(__xludf.DUMMYFUNCTION("""COMPUTED_VALUE"""),"갈등관리")</f>
        <v>갈등관리</v>
      </c>
      <c r="E28" s="8" t="str">
        <f>IFERROR(__xludf.DUMMYFUNCTION("""COMPUTED_VALUE"""),"예정")</f>
        <v>예정</v>
      </c>
    </row>
  </sheetData>
  <dataValidations>
    <dataValidation type="list" allowBlank="1" showInputMessage="1" showErrorMessage="1" prompt="전체 또는 소속(A팀/B팀/C팀) 선택" sqref="B4">
      <formula1>'대시보드'!$R$5:$R$8</formula1>
    </dataValidation>
  </dataValidations>
  <drawing r:id="rId2"/>
  <legacyDrawing r:id="rId3"/>
</worksheet>
</file>